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lgemeen\1. Algemeen\Prijzen\Prijzen 2026\"/>
    </mc:Choice>
  </mc:AlternateContent>
  <workbookProtection workbookAlgorithmName="SHA-512" workbookHashValue="dYasrqcN9y3b5TJ+Nj02GooZkZmr+NxrGkL38iXPwdOYtaRacICgXk+KrZ2YbXdJoLSHw4lSUJBCChHBofz7kA==" workbookSaltValue="3lhtey8t3CZwLTI0EeZEKQ==" workbookSpinCount="100000" lockStructure="1"/>
  <bookViews>
    <workbookView xWindow="-105" yWindow="-105" windowWidth="23250" windowHeight="12570"/>
  </bookViews>
  <sheets>
    <sheet name="Indicatie netto kosten" sheetId="15" r:id="rId1"/>
    <sheet name="Berekening2026" sheetId="20" state="hidden" r:id="rId2"/>
    <sheet name="tabelkot2026" sheetId="18" state="hidden" r:id="rId3"/>
    <sheet name="basisinfo2026" sheetId="19" state="hidden" r:id="rId4"/>
    <sheet name="Berekening2025" sheetId="1" state="hidden" r:id="rId5"/>
    <sheet name="Berekening2025-2" sheetId="14" state="hidden" r:id="rId6"/>
    <sheet name="tabelkot2025" sheetId="4" state="hidden" r:id="rId7"/>
    <sheet name="basisinfo2025" sheetId="6" state="hidden" r:id="rId8"/>
    <sheet name="Berekening2024-2" sheetId="16" state="hidden" r:id="rId9"/>
    <sheet name="Berekening2024" sheetId="17" state="hidden" r:id="rId10"/>
    <sheet name="basisinfo2024" sheetId="11" state="hidden" r:id="rId11"/>
    <sheet name="tabelkot2024" sheetId="12" state="hidden" r:id="rId12"/>
  </sheets>
  <definedNames>
    <definedName name="_xlnm.Print_Area" localSheetId="4">Berekening2025!$B$1:$H$120</definedName>
    <definedName name="_xlnm.Print_Area" localSheetId="0">'Indicatie netto kosten'!$A$1:$I$91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20" l="1"/>
  <c r="F27" i="20"/>
  <c r="R70" i="18"/>
  <c r="Q70" i="18"/>
  <c r="R69" i="18"/>
  <c r="Q69" i="18"/>
  <c r="R68" i="18"/>
  <c r="Q68" i="18"/>
  <c r="R67" i="18"/>
  <c r="Q67" i="18"/>
  <c r="R66" i="18"/>
  <c r="Q66" i="18"/>
  <c r="R65" i="18"/>
  <c r="Q65" i="18"/>
  <c r="R64" i="18"/>
  <c r="Q64" i="18"/>
  <c r="R63" i="18"/>
  <c r="Q63" i="18"/>
  <c r="R62" i="18"/>
  <c r="Q62" i="18"/>
  <c r="R61" i="18"/>
  <c r="Q61" i="18"/>
  <c r="R60" i="18"/>
  <c r="Q60" i="18"/>
  <c r="R59" i="18"/>
  <c r="Q59" i="18"/>
  <c r="R58" i="18"/>
  <c r="Q58" i="18"/>
  <c r="R57" i="18"/>
  <c r="Q57" i="18"/>
  <c r="R56" i="18"/>
  <c r="Q56" i="18"/>
  <c r="R55" i="18"/>
  <c r="Q55" i="18"/>
  <c r="R54" i="18"/>
  <c r="Q54" i="18"/>
  <c r="R53" i="18"/>
  <c r="Q53" i="18"/>
  <c r="R52" i="18"/>
  <c r="Q52" i="18"/>
  <c r="R51" i="18"/>
  <c r="Q51" i="18"/>
  <c r="R50" i="18"/>
  <c r="Q50" i="18"/>
  <c r="R49" i="18"/>
  <c r="Q49" i="18"/>
  <c r="R48" i="18"/>
  <c r="Q48" i="18"/>
  <c r="R47" i="18"/>
  <c r="Q47" i="18"/>
  <c r="R46" i="18"/>
  <c r="Q46" i="18"/>
  <c r="R45" i="18"/>
  <c r="Q45" i="18"/>
  <c r="R44" i="18"/>
  <c r="Q44" i="18"/>
  <c r="R43" i="18"/>
  <c r="Q43" i="18"/>
  <c r="R42" i="18"/>
  <c r="Q42" i="18"/>
  <c r="R41" i="18"/>
  <c r="Q41" i="18"/>
  <c r="R40" i="18"/>
  <c r="Q40" i="18"/>
  <c r="R39" i="18"/>
  <c r="Q39" i="18"/>
  <c r="R38" i="18"/>
  <c r="Q38" i="18"/>
  <c r="R37" i="18"/>
  <c r="Q37" i="18"/>
  <c r="R36" i="18"/>
  <c r="Q36" i="18"/>
  <c r="R35" i="18"/>
  <c r="Q35" i="18"/>
  <c r="R34" i="18"/>
  <c r="Q34" i="18"/>
  <c r="R33" i="18"/>
  <c r="Q33" i="18"/>
  <c r="R32" i="18"/>
  <c r="Q32" i="18"/>
  <c r="R31" i="18"/>
  <c r="Q31" i="18"/>
  <c r="R30" i="18"/>
  <c r="Q30" i="18"/>
  <c r="R29" i="18"/>
  <c r="Q29" i="18"/>
  <c r="R28" i="18"/>
  <c r="Q28" i="18"/>
  <c r="R27" i="18"/>
  <c r="Q27" i="18"/>
  <c r="R26" i="18"/>
  <c r="Q26" i="18"/>
  <c r="R25" i="18"/>
  <c r="Q25" i="18"/>
  <c r="R24" i="18"/>
  <c r="Q24" i="18"/>
  <c r="R23" i="18"/>
  <c r="Q23" i="18"/>
  <c r="R22" i="18"/>
  <c r="Q22" i="18"/>
  <c r="R21" i="18"/>
  <c r="Q21" i="18"/>
  <c r="R20" i="18"/>
  <c r="Q20" i="18"/>
  <c r="R19" i="18"/>
  <c r="Q19" i="18"/>
  <c r="R18" i="18"/>
  <c r="Q18" i="18"/>
  <c r="R17" i="18"/>
  <c r="Q17" i="18"/>
  <c r="R16" i="18"/>
  <c r="Q16" i="18"/>
  <c r="R15" i="18"/>
  <c r="Q15" i="18"/>
  <c r="R14" i="18"/>
  <c r="Q14" i="18"/>
  <c r="R13" i="18"/>
  <c r="Q13" i="18"/>
  <c r="R12" i="18"/>
  <c r="Q12" i="18"/>
  <c r="R11" i="18"/>
  <c r="Q11" i="18"/>
  <c r="R10" i="18"/>
  <c r="Q10" i="18"/>
  <c r="R9" i="18"/>
  <c r="Q9" i="18"/>
  <c r="R8" i="18"/>
  <c r="Q8" i="18"/>
  <c r="R7" i="18"/>
  <c r="Q7" i="18"/>
  <c r="R6" i="18"/>
  <c r="Q6" i="18"/>
  <c r="R5" i="18"/>
  <c r="Q5" i="18"/>
  <c r="R4" i="18"/>
  <c r="Q4" i="18"/>
  <c r="R3" i="18"/>
  <c r="Q3" i="18"/>
  <c r="R2" i="18"/>
  <c r="Q2" i="18"/>
  <c r="O70" i="18"/>
  <c r="O69" i="18"/>
  <c r="O68" i="18"/>
  <c r="O67" i="18"/>
  <c r="O66" i="18"/>
  <c r="O65" i="18"/>
  <c r="O64" i="18"/>
  <c r="O63" i="18"/>
  <c r="O62" i="18"/>
  <c r="O61" i="18"/>
  <c r="O60" i="18"/>
  <c r="O59" i="18"/>
  <c r="O58" i="18"/>
  <c r="O57" i="18"/>
  <c r="O56" i="18"/>
  <c r="O55" i="18"/>
  <c r="O54" i="18"/>
  <c r="O53" i="18"/>
  <c r="O52" i="18"/>
  <c r="O51" i="18"/>
  <c r="O50" i="18"/>
  <c r="O49" i="18"/>
  <c r="O48" i="18"/>
  <c r="O47" i="18"/>
  <c r="O46" i="18"/>
  <c r="O45" i="18"/>
  <c r="O44" i="18"/>
  <c r="O43" i="18"/>
  <c r="O42" i="18"/>
  <c r="O41" i="18"/>
  <c r="O40" i="18"/>
  <c r="O39" i="18"/>
  <c r="O38" i="18"/>
  <c r="O37" i="18"/>
  <c r="O36" i="18"/>
  <c r="O35" i="18"/>
  <c r="O34" i="18"/>
  <c r="O33" i="18"/>
  <c r="O32" i="18"/>
  <c r="O31" i="18"/>
  <c r="O30" i="18"/>
  <c r="O29" i="18"/>
  <c r="O28" i="18"/>
  <c r="O27" i="18"/>
  <c r="O26" i="18"/>
  <c r="O25" i="18"/>
  <c r="O24" i="18"/>
  <c r="O23" i="18"/>
  <c r="O22" i="18"/>
  <c r="O21" i="18"/>
  <c r="O20" i="18"/>
  <c r="O19" i="18"/>
  <c r="O18" i="18"/>
  <c r="O17" i="18"/>
  <c r="O16" i="18"/>
  <c r="O15" i="18"/>
  <c r="O14" i="18"/>
  <c r="O13" i="18"/>
  <c r="O12" i="18"/>
  <c r="O11" i="18"/>
  <c r="O10" i="18"/>
  <c r="O9" i="18"/>
  <c r="O8" i="18"/>
  <c r="O7" i="18"/>
  <c r="O6" i="18"/>
  <c r="O5" i="18"/>
  <c r="O4" i="18"/>
  <c r="O3" i="18"/>
  <c r="P70" i="18"/>
  <c r="P69" i="18"/>
  <c r="P68" i="18"/>
  <c r="P67" i="18"/>
  <c r="P66" i="18"/>
  <c r="P65" i="18"/>
  <c r="P64" i="18"/>
  <c r="P63" i="18"/>
  <c r="P62" i="18"/>
  <c r="P61" i="18"/>
  <c r="P60" i="18"/>
  <c r="P59" i="18"/>
  <c r="P58" i="18"/>
  <c r="P57" i="18"/>
  <c r="P56" i="18"/>
  <c r="P55" i="18"/>
  <c r="P54" i="18"/>
  <c r="P53" i="18"/>
  <c r="P52" i="18"/>
  <c r="P51" i="18"/>
  <c r="P50" i="18"/>
  <c r="P49" i="18"/>
  <c r="P48" i="18"/>
  <c r="P47" i="18"/>
  <c r="P46" i="18"/>
  <c r="P45" i="18"/>
  <c r="P44" i="18"/>
  <c r="P43" i="18"/>
  <c r="P42" i="18"/>
  <c r="P41" i="18"/>
  <c r="P40" i="18"/>
  <c r="P39" i="18"/>
  <c r="P38" i="18"/>
  <c r="P37" i="18"/>
  <c r="P36" i="18"/>
  <c r="P35" i="18"/>
  <c r="P34" i="18"/>
  <c r="P33" i="18"/>
  <c r="P32" i="18"/>
  <c r="P31" i="18"/>
  <c r="P30" i="18"/>
  <c r="P29" i="18"/>
  <c r="P28" i="18"/>
  <c r="P27" i="18"/>
  <c r="P26" i="18"/>
  <c r="P25" i="18"/>
  <c r="P24" i="18"/>
  <c r="P23" i="18"/>
  <c r="P22" i="18"/>
  <c r="P21" i="18"/>
  <c r="P20" i="18"/>
  <c r="P19" i="18"/>
  <c r="P18" i="18"/>
  <c r="P17" i="18"/>
  <c r="P16" i="18"/>
  <c r="P15" i="18"/>
  <c r="P14" i="18"/>
  <c r="P13" i="18"/>
  <c r="P12" i="18"/>
  <c r="P11" i="18"/>
  <c r="P10" i="18"/>
  <c r="P9" i="18"/>
  <c r="P8" i="18"/>
  <c r="P7" i="18"/>
  <c r="P6" i="18"/>
  <c r="P5" i="18"/>
  <c r="P4" i="18"/>
  <c r="P3" i="18"/>
  <c r="P2" i="18"/>
  <c r="C19" i="1"/>
  <c r="C19" i="20"/>
  <c r="D35" i="20" s="1"/>
  <c r="C39" i="15" s="1"/>
  <c r="G35" i="20"/>
  <c r="F35" i="20"/>
  <c r="G32" i="20"/>
  <c r="G31" i="20" s="1"/>
  <c r="F32" i="20"/>
  <c r="F48" i="20" s="1"/>
  <c r="F67" i="20" s="1"/>
  <c r="F94" i="20" s="1"/>
  <c r="E109" i="20"/>
  <c r="D109" i="20"/>
  <c r="H105" i="20"/>
  <c r="G105" i="20"/>
  <c r="F105" i="20"/>
  <c r="E105" i="20"/>
  <c r="D105" i="20"/>
  <c r="F102" i="20"/>
  <c r="G81" i="20"/>
  <c r="F81" i="20"/>
  <c r="E81" i="20"/>
  <c r="G80" i="20"/>
  <c r="F80" i="20"/>
  <c r="E80" i="20"/>
  <c r="D80" i="20"/>
  <c r="H79" i="20"/>
  <c r="G79" i="20"/>
  <c r="F79" i="20"/>
  <c r="E79" i="20"/>
  <c r="D79" i="20"/>
  <c r="G78" i="20"/>
  <c r="F78" i="20"/>
  <c r="E78" i="20"/>
  <c r="D78" i="20"/>
  <c r="D81" i="20" s="1"/>
  <c r="H74" i="20"/>
  <c r="G74" i="20"/>
  <c r="F74" i="20"/>
  <c r="E74" i="20"/>
  <c r="D74" i="20"/>
  <c r="G73" i="20"/>
  <c r="G75" i="20" s="1"/>
  <c r="F73" i="20"/>
  <c r="F75" i="20" s="1"/>
  <c r="E73" i="20"/>
  <c r="D73" i="20"/>
  <c r="F51" i="20"/>
  <c r="F62" i="20" s="1"/>
  <c r="F89" i="20" s="1"/>
  <c r="F44" i="20"/>
  <c r="D44" i="20"/>
  <c r="H109" i="20"/>
  <c r="G109" i="20"/>
  <c r="F109" i="20"/>
  <c r="G40" i="20"/>
  <c r="G108" i="20" s="1"/>
  <c r="F40" i="20"/>
  <c r="F108" i="20" s="1"/>
  <c r="G38" i="20"/>
  <c r="F38" i="20"/>
  <c r="G25" i="20"/>
  <c r="G39" i="20" s="1"/>
  <c r="F25" i="20"/>
  <c r="E25" i="20"/>
  <c r="E38" i="20" s="1"/>
  <c r="D25" i="20"/>
  <c r="G24" i="20"/>
  <c r="F24" i="20"/>
  <c r="E24" i="20"/>
  <c r="E27" i="20" s="1"/>
  <c r="D24" i="20"/>
  <c r="D27" i="20" s="1"/>
  <c r="D70" i="18"/>
  <c r="C70" i="18"/>
  <c r="D69" i="18"/>
  <c r="C69" i="18"/>
  <c r="D68" i="18"/>
  <c r="C68" i="18"/>
  <c r="D67" i="18"/>
  <c r="C67" i="18"/>
  <c r="D66" i="18"/>
  <c r="C66" i="18"/>
  <c r="D65" i="18"/>
  <c r="C65" i="18"/>
  <c r="D64" i="18"/>
  <c r="C64" i="18"/>
  <c r="D63" i="18"/>
  <c r="C63" i="18"/>
  <c r="D62" i="18"/>
  <c r="C62" i="18"/>
  <c r="D61" i="18"/>
  <c r="C61" i="18"/>
  <c r="D60" i="18"/>
  <c r="C60" i="18"/>
  <c r="D59" i="18"/>
  <c r="C59" i="18"/>
  <c r="D58" i="18"/>
  <c r="C58" i="18"/>
  <c r="D57" i="18"/>
  <c r="C57" i="18"/>
  <c r="D56" i="18"/>
  <c r="C56" i="18"/>
  <c r="D55" i="18"/>
  <c r="C55" i="18"/>
  <c r="D54" i="18"/>
  <c r="C54" i="18"/>
  <c r="D53" i="18"/>
  <c r="C53" i="18"/>
  <c r="D52" i="18"/>
  <c r="C52" i="18"/>
  <c r="D51" i="18"/>
  <c r="C51" i="18"/>
  <c r="D50" i="18"/>
  <c r="C50" i="18"/>
  <c r="D49" i="18"/>
  <c r="C49" i="18"/>
  <c r="D48" i="18"/>
  <c r="C48" i="18"/>
  <c r="D47" i="18"/>
  <c r="C47" i="18"/>
  <c r="D46" i="18"/>
  <c r="C46" i="18"/>
  <c r="D45" i="18"/>
  <c r="C45" i="18"/>
  <c r="D44" i="18"/>
  <c r="C44" i="18"/>
  <c r="D43" i="18"/>
  <c r="C43" i="18"/>
  <c r="D42" i="18"/>
  <c r="C42"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D16" i="18"/>
  <c r="C16" i="18"/>
  <c r="D15" i="18"/>
  <c r="C15" i="18"/>
  <c r="D14" i="18"/>
  <c r="C14" i="18"/>
  <c r="D13" i="18"/>
  <c r="C13" i="18"/>
  <c r="D12" i="18"/>
  <c r="C12" i="18"/>
  <c r="D11" i="18"/>
  <c r="C11" i="18"/>
  <c r="D10" i="18"/>
  <c r="C10" i="18"/>
  <c r="D9" i="18"/>
  <c r="C9" i="18"/>
  <c r="D8" i="18"/>
  <c r="C8" i="18"/>
  <c r="D7" i="18"/>
  <c r="C7" i="18"/>
  <c r="D6" i="18"/>
  <c r="C6" i="18"/>
  <c r="D5" i="18"/>
  <c r="C5" i="18"/>
  <c r="D4" i="18"/>
  <c r="C4" i="18"/>
  <c r="D3" i="18"/>
  <c r="C3" i="18"/>
  <c r="D2" i="18"/>
  <c r="C2" i="18"/>
  <c r="G70" i="18"/>
  <c r="G69" i="18"/>
  <c r="G68" i="18"/>
  <c r="G67" i="18"/>
  <c r="G66" i="18"/>
  <c r="G65" i="18"/>
  <c r="G64" i="18"/>
  <c r="G63" i="18"/>
  <c r="G62" i="18"/>
  <c r="G61" i="18"/>
  <c r="G60"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G16" i="18"/>
  <c r="G15" i="18"/>
  <c r="G14" i="18"/>
  <c r="G13" i="18"/>
  <c r="G12" i="18"/>
  <c r="G11" i="18"/>
  <c r="G10" i="18"/>
  <c r="G9" i="18"/>
  <c r="G8" i="18"/>
  <c r="G7" i="18"/>
  <c r="G6" i="18"/>
  <c r="G5" i="18"/>
  <c r="G4" i="18"/>
  <c r="F11" i="19"/>
  <c r="E11" i="19"/>
  <c r="F10" i="19"/>
  <c r="F13" i="19" s="1"/>
  <c r="E10" i="19"/>
  <c r="E13" i="19" s="1"/>
  <c r="E35" i="20" l="1"/>
  <c r="D39" i="15" s="1"/>
  <c r="E44" i="20"/>
  <c r="E46" i="20"/>
  <c r="E61" i="20" s="1"/>
  <c r="G46" i="20"/>
  <c r="G47" i="20"/>
  <c r="G66" i="20" s="1"/>
  <c r="F46" i="20"/>
  <c r="D75" i="20"/>
  <c r="E39" i="20"/>
  <c r="G44" i="20"/>
  <c r="G48" i="20" s="1"/>
  <c r="G67" i="20" s="1"/>
  <c r="G94" i="20" s="1"/>
  <c r="G51" i="20"/>
  <c r="G62" i="20" s="1"/>
  <c r="G89" i="20" s="1"/>
  <c r="E75" i="20"/>
  <c r="H78" i="20"/>
  <c r="H81" i="20" s="1"/>
  <c r="F31" i="20"/>
  <c r="F47" i="20" s="1"/>
  <c r="F66" i="20" s="1"/>
  <c r="F39" i="20"/>
  <c r="D46" i="20"/>
  <c r="H73" i="20"/>
  <c r="B86" i="20"/>
  <c r="H80" i="20"/>
  <c r="D39" i="20"/>
  <c r="B85" i="20"/>
  <c r="D38" i="20"/>
  <c r="E88" i="20" l="1"/>
  <c r="F93" i="20"/>
  <c r="F96" i="20" s="1"/>
  <c r="H75" i="20"/>
  <c r="G93" i="20"/>
  <c r="G96" i="20" s="1"/>
  <c r="G50" i="20"/>
  <c r="G68" i="20" s="1"/>
  <c r="G95" i="20" s="1"/>
  <c r="G61" i="20"/>
  <c r="D61" i="20"/>
  <c r="H46" i="20"/>
  <c r="F61" i="20"/>
  <c r="F50" i="20"/>
  <c r="F68" i="20" s="1"/>
  <c r="F95" i="20" s="1"/>
  <c r="G69" i="20" l="1"/>
  <c r="G103" i="20" s="1"/>
  <c r="H61" i="20"/>
  <c r="C66" i="15" s="1"/>
  <c r="D88" i="20"/>
  <c r="G88" i="20"/>
  <c r="G63" i="20"/>
  <c r="G90" i="20" s="1"/>
  <c r="F88" i="20"/>
  <c r="F63" i="20"/>
  <c r="F90" i="20" s="1"/>
  <c r="F69" i="20"/>
  <c r="G106" i="20" l="1"/>
  <c r="G102" i="20"/>
  <c r="F103" i="20"/>
  <c r="F106" i="20"/>
  <c r="H88" i="20"/>
  <c r="G35" i="17" l="1"/>
  <c r="F35" i="17"/>
  <c r="G35" i="1"/>
  <c r="F35" i="1"/>
  <c r="D43" i="15" l="1"/>
  <c r="C19" i="16"/>
  <c r="C19" i="17"/>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F109" i="17"/>
  <c r="E109" i="17"/>
  <c r="D109" i="17"/>
  <c r="H105" i="17"/>
  <c r="G105" i="17"/>
  <c r="F105" i="17"/>
  <c r="E105" i="17"/>
  <c r="D105" i="17"/>
  <c r="G81" i="17"/>
  <c r="F81" i="17"/>
  <c r="E81" i="17"/>
  <c r="G80" i="17"/>
  <c r="F80" i="17"/>
  <c r="E80" i="17"/>
  <c r="D80" i="17"/>
  <c r="H79" i="17"/>
  <c r="G79" i="17"/>
  <c r="F79" i="17"/>
  <c r="E79" i="17"/>
  <c r="D79" i="17"/>
  <c r="G78" i="17"/>
  <c r="F78" i="17"/>
  <c r="E78" i="17"/>
  <c r="D78" i="17"/>
  <c r="D81" i="17" s="1"/>
  <c r="H74" i="17"/>
  <c r="G74" i="17"/>
  <c r="F74" i="17"/>
  <c r="E74" i="17"/>
  <c r="D74" i="17"/>
  <c r="G73" i="17"/>
  <c r="G75" i="17" s="1"/>
  <c r="F73" i="17"/>
  <c r="F75" i="17" s="1"/>
  <c r="E73" i="17"/>
  <c r="D73" i="17"/>
  <c r="H41" i="17"/>
  <c r="H109" i="17" s="1"/>
  <c r="G41" i="17"/>
  <c r="G109" i="17" s="1"/>
  <c r="F41" i="17"/>
  <c r="E41" i="17"/>
  <c r="D41" i="17"/>
  <c r="G36" i="17"/>
  <c r="F36" i="17"/>
  <c r="E36" i="17"/>
  <c r="D36" i="17"/>
  <c r="G25" i="17"/>
  <c r="F25" i="17"/>
  <c r="E25" i="17"/>
  <c r="D25" i="17"/>
  <c r="D44" i="17" s="1"/>
  <c r="G24" i="17"/>
  <c r="G27" i="17" s="1"/>
  <c r="F24" i="17"/>
  <c r="F27" i="17" s="1"/>
  <c r="E24" i="17"/>
  <c r="E27" i="17" s="1"/>
  <c r="D24" i="17"/>
  <c r="H105" i="16"/>
  <c r="G105" i="16"/>
  <c r="F105" i="16"/>
  <c r="E105" i="16"/>
  <c r="D105" i="16"/>
  <c r="E81" i="16"/>
  <c r="G80" i="16"/>
  <c r="F80" i="16"/>
  <c r="E80" i="16"/>
  <c r="D80" i="16"/>
  <c r="G79" i="16"/>
  <c r="F79" i="16"/>
  <c r="E79" i="16"/>
  <c r="D79" i="16"/>
  <c r="H79" i="16" s="1"/>
  <c r="G78" i="16"/>
  <c r="G81" i="16" s="1"/>
  <c r="F78" i="16"/>
  <c r="F81" i="16" s="1"/>
  <c r="E78" i="16"/>
  <c r="D78" i="16"/>
  <c r="D81" i="16" s="1"/>
  <c r="G74" i="16"/>
  <c r="F74" i="16"/>
  <c r="E74" i="16"/>
  <c r="D74" i="16"/>
  <c r="H74" i="16" s="1"/>
  <c r="G73" i="16"/>
  <c r="G75" i="16" s="1"/>
  <c r="F73" i="16"/>
  <c r="E73" i="16"/>
  <c r="D73" i="16"/>
  <c r="H41" i="16"/>
  <c r="H109" i="16" s="1"/>
  <c r="G41" i="16"/>
  <c r="G109" i="16" s="1"/>
  <c r="F41" i="16"/>
  <c r="F109" i="16" s="1"/>
  <c r="E41" i="16"/>
  <c r="E109" i="16" s="1"/>
  <c r="D41" i="16"/>
  <c r="D109" i="16" s="1"/>
  <c r="G36" i="16"/>
  <c r="F36" i="16"/>
  <c r="E36" i="16"/>
  <c r="D36" i="16"/>
  <c r="G25" i="16"/>
  <c r="G39" i="16" s="1"/>
  <c r="F25" i="16"/>
  <c r="F38" i="16" s="1"/>
  <c r="E25" i="16"/>
  <c r="E38" i="16" s="1"/>
  <c r="D25" i="16"/>
  <c r="D44" i="16" s="1"/>
  <c r="G24" i="16"/>
  <c r="G27" i="16" s="1"/>
  <c r="F24" i="16"/>
  <c r="F27" i="16" s="1"/>
  <c r="E24" i="16"/>
  <c r="E27" i="16" s="1"/>
  <c r="D24" i="16"/>
  <c r="D27" i="16" s="1"/>
  <c r="E35" i="17" l="1"/>
  <c r="B44" i="15"/>
  <c r="B45" i="15"/>
  <c r="F35" i="16"/>
  <c r="F44" i="16"/>
  <c r="D35" i="16"/>
  <c r="B85" i="16" s="1"/>
  <c r="E35" i="16"/>
  <c r="E39" i="17"/>
  <c r="G35" i="16"/>
  <c r="E39" i="16"/>
  <c r="G38" i="16"/>
  <c r="D39" i="17"/>
  <c r="E44" i="16"/>
  <c r="G46" i="17"/>
  <c r="F46" i="17"/>
  <c r="E38" i="17"/>
  <c r="F38" i="17"/>
  <c r="G38" i="17"/>
  <c r="F44" i="17"/>
  <c r="D75" i="17"/>
  <c r="E75" i="17"/>
  <c r="F39" i="17"/>
  <c r="H73" i="17"/>
  <c r="B86" i="17"/>
  <c r="D27" i="17"/>
  <c r="G44" i="17"/>
  <c r="G39" i="17"/>
  <c r="E46" i="17"/>
  <c r="H80" i="17"/>
  <c r="E44" i="17"/>
  <c r="H78" i="17"/>
  <c r="H81" i="17" s="1"/>
  <c r="F75" i="16"/>
  <c r="D35" i="17"/>
  <c r="D38" i="17"/>
  <c r="G46" i="16"/>
  <c r="E46" i="16"/>
  <c r="F46" i="16"/>
  <c r="D39" i="16"/>
  <c r="G44" i="16"/>
  <c r="E75" i="16"/>
  <c r="H78" i="16"/>
  <c r="H81" i="16" s="1"/>
  <c r="D75" i="16"/>
  <c r="F39" i="16"/>
  <c r="D46" i="16"/>
  <c r="H73" i="16"/>
  <c r="B86" i="16"/>
  <c r="H80" i="16"/>
  <c r="D38" i="16"/>
  <c r="G25" i="14"/>
  <c r="G29" i="14" s="1"/>
  <c r="F25" i="14"/>
  <c r="E25" i="14"/>
  <c r="D25" i="14"/>
  <c r="B86" i="14" s="1"/>
  <c r="G24" i="14"/>
  <c r="G27" i="14" s="1"/>
  <c r="F24" i="14"/>
  <c r="F27" i="14" s="1"/>
  <c r="E24" i="14"/>
  <c r="E27" i="14" s="1"/>
  <c r="D24" i="14"/>
  <c r="D27" i="14" s="1"/>
  <c r="G25" i="1"/>
  <c r="F25" i="1"/>
  <c r="E25" i="1"/>
  <c r="E35" i="1" s="1"/>
  <c r="D40" i="15" s="1"/>
  <c r="D25" i="1"/>
  <c r="B86" i="1" s="1"/>
  <c r="G24" i="1"/>
  <c r="G27" i="1" s="1"/>
  <c r="F24" i="1"/>
  <c r="F27" i="1" s="1"/>
  <c r="E24" i="1"/>
  <c r="D24" i="1"/>
  <c r="C19" i="14"/>
  <c r="D27" i="1" l="1"/>
  <c r="C10" i="19"/>
  <c r="C11" i="19"/>
  <c r="E27" i="1"/>
  <c r="D10" i="19"/>
  <c r="D11" i="19"/>
  <c r="G39" i="14"/>
  <c r="D44" i="1"/>
  <c r="F39" i="1"/>
  <c r="D46" i="1"/>
  <c r="D61" i="1" s="1"/>
  <c r="G39" i="1"/>
  <c r="G35" i="14"/>
  <c r="B85" i="17"/>
  <c r="F44" i="1"/>
  <c r="E46" i="1"/>
  <c r="E61" i="1" s="1"/>
  <c r="E44" i="1"/>
  <c r="F46" i="1"/>
  <c r="F61" i="1" s="1"/>
  <c r="F38" i="1"/>
  <c r="E38" i="1"/>
  <c r="G44" i="1"/>
  <c r="D39" i="1"/>
  <c r="D35" i="1"/>
  <c r="C40" i="15" s="1"/>
  <c r="E39" i="1"/>
  <c r="G44" i="14"/>
  <c r="G38" i="1"/>
  <c r="G46" i="1"/>
  <c r="G61" i="1" s="1"/>
  <c r="D38" i="1"/>
  <c r="E61" i="17"/>
  <c r="G61" i="17"/>
  <c r="F61" i="17"/>
  <c r="H75" i="17"/>
  <c r="D46" i="17"/>
  <c r="F61" i="16"/>
  <c r="H75" i="16"/>
  <c r="D61" i="16"/>
  <c r="H46" i="16"/>
  <c r="E61" i="16"/>
  <c r="G61" i="16"/>
  <c r="D38" i="14"/>
  <c r="D46" i="14"/>
  <c r="D61" i="14" s="1"/>
  <c r="G46" i="14"/>
  <c r="G61" i="14" s="1"/>
  <c r="D29" i="14"/>
  <c r="E38" i="14"/>
  <c r="E46" i="14"/>
  <c r="E61" i="14" s="1"/>
  <c r="F29" i="14"/>
  <c r="F46" i="14"/>
  <c r="F61" i="14" s="1"/>
  <c r="G38" i="14"/>
  <c r="D35" i="14"/>
  <c r="D39" i="14"/>
  <c r="D44" i="14"/>
  <c r="E29" i="14"/>
  <c r="E35" i="14"/>
  <c r="E39" i="14"/>
  <c r="E44" i="14"/>
  <c r="F38" i="14"/>
  <c r="F35" i="14"/>
  <c r="F39" i="14"/>
  <c r="F44" i="14"/>
  <c r="F12" i="11"/>
  <c r="E12" i="11"/>
  <c r="D12" i="11"/>
  <c r="C12" i="11"/>
  <c r="F11" i="11"/>
  <c r="E11" i="11"/>
  <c r="D11" i="11"/>
  <c r="C11" i="11"/>
  <c r="F10" i="11"/>
  <c r="E10" i="11"/>
  <c r="D10" i="11"/>
  <c r="C10" i="11"/>
  <c r="C13" i="19" l="1"/>
  <c r="D32" i="20" s="1"/>
  <c r="D31" i="20"/>
  <c r="D47" i="20" s="1"/>
  <c r="D48" i="20"/>
  <c r="D67" i="20" s="1"/>
  <c r="D94" i="20" s="1"/>
  <c r="H94" i="20" s="1"/>
  <c r="D13" i="19"/>
  <c r="E32" i="20" s="1"/>
  <c r="D41" i="15"/>
  <c r="C41" i="15"/>
  <c r="H61" i="1"/>
  <c r="H61" i="14"/>
  <c r="H46" i="1"/>
  <c r="E88" i="17"/>
  <c r="G88" i="17"/>
  <c r="D61" i="17"/>
  <c r="H46" i="17"/>
  <c r="F88" i="17"/>
  <c r="E88" i="16"/>
  <c r="G88" i="16"/>
  <c r="H61" i="16"/>
  <c r="D88" i="16"/>
  <c r="F88" i="16"/>
  <c r="H46" i="14"/>
  <c r="F11" i="6"/>
  <c r="E11" i="6"/>
  <c r="D11" i="6"/>
  <c r="F10" i="6"/>
  <c r="E10" i="6"/>
  <c r="D10" i="6"/>
  <c r="C11" i="6"/>
  <c r="C10" i="6"/>
  <c r="D66" i="20" l="1"/>
  <c r="D50" i="20"/>
  <c r="D51" i="20" s="1"/>
  <c r="C78" i="15"/>
  <c r="E48" i="20"/>
  <c r="E31" i="20"/>
  <c r="E47" i="20" s="1"/>
  <c r="H61" i="17"/>
  <c r="D88" i="17"/>
  <c r="H88" i="16"/>
  <c r="D13" i="6"/>
  <c r="E32" i="14" s="1"/>
  <c r="E13" i="6"/>
  <c r="F32" i="14" s="1"/>
  <c r="F13" i="6"/>
  <c r="G32" i="14" s="1"/>
  <c r="C13" i="6"/>
  <c r="D32" i="14" s="1"/>
  <c r="D68" i="20" l="1"/>
  <c r="D95" i="20" s="1"/>
  <c r="H95" i="20" s="1"/>
  <c r="D62" i="20"/>
  <c r="D93" i="20"/>
  <c r="D40" i="20"/>
  <c r="D108" i="20" s="1"/>
  <c r="D69" i="20"/>
  <c r="E50" i="20"/>
  <c r="E66" i="20"/>
  <c r="H47" i="20"/>
  <c r="E67" i="20"/>
  <c r="H48" i="20"/>
  <c r="H88" i="17"/>
  <c r="G31" i="14"/>
  <c r="G47" i="14" s="1"/>
  <c r="G48" i="14"/>
  <c r="G67" i="14" s="1"/>
  <c r="F31" i="14"/>
  <c r="F47" i="14" s="1"/>
  <c r="F48" i="14"/>
  <c r="F67" i="14" s="1"/>
  <c r="E48" i="14"/>
  <c r="E67" i="14" s="1"/>
  <c r="E31" i="14"/>
  <c r="E47" i="14" s="1"/>
  <c r="D31" i="14"/>
  <c r="D47" i="14" s="1"/>
  <c r="D48" i="14"/>
  <c r="D32" i="1"/>
  <c r="G32" i="1"/>
  <c r="F32" i="1"/>
  <c r="E32" i="1"/>
  <c r="G36" i="14"/>
  <c r="F36" i="14"/>
  <c r="E36" i="14"/>
  <c r="D36" i="14"/>
  <c r="B85" i="14" s="1"/>
  <c r="D96" i="20" l="1"/>
  <c r="H93" i="20"/>
  <c r="H96" i="20" s="1"/>
  <c r="D106" i="20"/>
  <c r="D102" i="20"/>
  <c r="D103" i="20" s="1"/>
  <c r="D89" i="20"/>
  <c r="D63" i="20"/>
  <c r="D90" i="20" s="1"/>
  <c r="E40" i="20"/>
  <c r="E108" i="20" s="1"/>
  <c r="E51" i="20"/>
  <c r="H50" i="20"/>
  <c r="E94" i="20"/>
  <c r="H67" i="20"/>
  <c r="H66" i="20"/>
  <c r="C71" i="15" s="1"/>
  <c r="E93" i="20"/>
  <c r="E96" i="20" s="1"/>
  <c r="G66" i="14"/>
  <c r="G40" i="14" s="1"/>
  <c r="G108" i="14" s="1"/>
  <c r="G50" i="14"/>
  <c r="F66" i="14"/>
  <c r="F40" i="14" s="1"/>
  <c r="F108" i="14" s="1"/>
  <c r="F50" i="14"/>
  <c r="E50" i="14"/>
  <c r="E66" i="14"/>
  <c r="E40" i="14" s="1"/>
  <c r="E108" i="14" s="1"/>
  <c r="D67" i="14"/>
  <c r="H67" i="14" s="1"/>
  <c r="H48" i="14"/>
  <c r="D66" i="14"/>
  <c r="D50" i="14"/>
  <c r="H47" i="14"/>
  <c r="E31" i="1"/>
  <c r="E47" i="1" s="1"/>
  <c r="E48" i="1"/>
  <c r="E67" i="1" s="1"/>
  <c r="B85" i="1"/>
  <c r="G31" i="1"/>
  <c r="G47" i="1" s="1"/>
  <c r="G48" i="1"/>
  <c r="G67" i="1" s="1"/>
  <c r="F31" i="1"/>
  <c r="F47" i="1" s="1"/>
  <c r="F48" i="1"/>
  <c r="F67" i="1" s="1"/>
  <c r="D48" i="1"/>
  <c r="D31" i="1"/>
  <c r="D47" i="1" s="1"/>
  <c r="D73" i="14"/>
  <c r="E62" i="20" l="1"/>
  <c r="H51" i="20"/>
  <c r="E68" i="20"/>
  <c r="G51" i="14"/>
  <c r="G62" i="14" s="1"/>
  <c r="G63" i="14" s="1"/>
  <c r="F51" i="14"/>
  <c r="F62" i="14" s="1"/>
  <c r="F63" i="14" s="1"/>
  <c r="E51" i="14"/>
  <c r="E62" i="14" s="1"/>
  <c r="E63" i="14" s="1"/>
  <c r="D51" i="14"/>
  <c r="D40" i="14"/>
  <c r="D108" i="14" s="1"/>
  <c r="D88" i="14"/>
  <c r="H50" i="14"/>
  <c r="H66" i="14"/>
  <c r="G50" i="1"/>
  <c r="G66" i="1"/>
  <c r="G40" i="1" s="1"/>
  <c r="G108" i="1" s="1"/>
  <c r="D67" i="1"/>
  <c r="H67" i="1" s="1"/>
  <c r="H48" i="1"/>
  <c r="E66" i="1"/>
  <c r="E40" i="1" s="1"/>
  <c r="E108" i="1" s="1"/>
  <c r="E50" i="1"/>
  <c r="H47" i="1"/>
  <c r="D66" i="1"/>
  <c r="D50" i="1"/>
  <c r="D73" i="1"/>
  <c r="F66" i="1"/>
  <c r="F40" i="1" s="1"/>
  <c r="F108" i="1" s="1"/>
  <c r="F50" i="1"/>
  <c r="F73" i="14"/>
  <c r="F88" i="14" s="1"/>
  <c r="G73" i="14"/>
  <c r="G88" i="14" s="1"/>
  <c r="E73" i="14"/>
  <c r="E88" i="14" s="1"/>
  <c r="H68" i="20" l="1"/>
  <c r="C73" i="15" s="1"/>
  <c r="E95" i="20"/>
  <c r="E69" i="20"/>
  <c r="E89" i="20"/>
  <c r="E63" i="20"/>
  <c r="E90" i="20" s="1"/>
  <c r="H62" i="20"/>
  <c r="C67" i="15" s="1"/>
  <c r="C72" i="15"/>
  <c r="C84" i="15"/>
  <c r="F51" i="1"/>
  <c r="F62" i="1" s="1"/>
  <c r="F63" i="1" s="1"/>
  <c r="G51" i="1"/>
  <c r="G62" i="1" s="1"/>
  <c r="G63" i="1" s="1"/>
  <c r="F68" i="14"/>
  <c r="F69" i="14" s="1"/>
  <c r="F102" i="14" s="1"/>
  <c r="G68" i="14"/>
  <c r="G69" i="14" s="1"/>
  <c r="G103" i="14" s="1"/>
  <c r="H51" i="14"/>
  <c r="D62" i="14"/>
  <c r="D68" i="14"/>
  <c r="E68" i="14"/>
  <c r="E69" i="14" s="1"/>
  <c r="E102" i="14" s="1"/>
  <c r="E103" i="14" s="1"/>
  <c r="E51" i="1"/>
  <c r="E62" i="1" s="1"/>
  <c r="E63" i="1" s="1"/>
  <c r="D51" i="1"/>
  <c r="D40" i="1"/>
  <c r="D108" i="1" s="1"/>
  <c r="H73" i="14"/>
  <c r="H88" i="14" s="1"/>
  <c r="H50" i="1"/>
  <c r="E73" i="1"/>
  <c r="G73" i="1"/>
  <c r="D88" i="1"/>
  <c r="F73" i="1"/>
  <c r="H66" i="1"/>
  <c r="F103" i="14" l="1"/>
  <c r="H89" i="20"/>
  <c r="H63" i="20"/>
  <c r="E106" i="20"/>
  <c r="E102" i="20"/>
  <c r="E103" i="20" s="1"/>
  <c r="H40" i="20"/>
  <c r="H108" i="20" s="1"/>
  <c r="B110" i="20" s="1"/>
  <c r="H69" i="20"/>
  <c r="C74" i="15" s="1"/>
  <c r="C83" i="15"/>
  <c r="G102" i="14"/>
  <c r="F106" i="14"/>
  <c r="G106" i="14"/>
  <c r="G68" i="1"/>
  <c r="G69" i="1" s="1"/>
  <c r="F68" i="1"/>
  <c r="F69" i="1" s="1"/>
  <c r="F102" i="1" s="1"/>
  <c r="H68" i="14"/>
  <c r="D69" i="14"/>
  <c r="H62" i="14"/>
  <c r="D63" i="14"/>
  <c r="E68" i="1"/>
  <c r="E69" i="1" s="1"/>
  <c r="E102" i="1" s="1"/>
  <c r="E103" i="1" s="1"/>
  <c r="D62" i="1"/>
  <c r="H51" i="1"/>
  <c r="D68" i="1"/>
  <c r="G88" i="1"/>
  <c r="E88" i="1"/>
  <c r="F88" i="1"/>
  <c r="H73" i="1"/>
  <c r="H90" i="20" l="1"/>
  <c r="C68" i="15"/>
  <c r="H102" i="20"/>
  <c r="H103" i="20" s="1"/>
  <c r="H106" i="20"/>
  <c r="F103" i="1"/>
  <c r="F106" i="1"/>
  <c r="G102" i="1"/>
  <c r="G103" i="1" s="1"/>
  <c r="G106" i="1"/>
  <c r="H63" i="14"/>
  <c r="D102" i="14"/>
  <c r="D103" i="14" s="1"/>
  <c r="H40" i="14"/>
  <c r="H108" i="14" s="1"/>
  <c r="B110" i="14" s="1"/>
  <c r="H69" i="14"/>
  <c r="D69" i="1"/>
  <c r="H68" i="1"/>
  <c r="H62" i="1"/>
  <c r="C79" i="15" s="1"/>
  <c r="D63" i="1"/>
  <c r="H88" i="1"/>
  <c r="C85" i="15" l="1"/>
  <c r="H63" i="1"/>
  <c r="H102" i="14"/>
  <c r="H103" i="14" s="1"/>
  <c r="H40" i="1"/>
  <c r="H108" i="1" s="1"/>
  <c r="B110" i="1" s="1"/>
  <c r="H69" i="1"/>
  <c r="D102" i="1"/>
  <c r="D103" i="1" s="1"/>
  <c r="C86" i="15" l="1"/>
  <c r="C80" i="15"/>
  <c r="C52" i="15"/>
  <c r="H102" i="1"/>
  <c r="H103" i="1" s="1"/>
  <c r="D13" i="11"/>
  <c r="F13" i="11"/>
  <c r="E13" i="11"/>
  <c r="C13" i="11"/>
  <c r="D33" i="14"/>
  <c r="C59" i="15" l="1"/>
  <c r="D32" i="16"/>
  <c r="D32" i="17"/>
  <c r="F32" i="16"/>
  <c r="F32" i="17"/>
  <c r="G32" i="17"/>
  <c r="G32" i="16"/>
  <c r="E33" i="14"/>
  <c r="E32" i="16"/>
  <c r="E32" i="17"/>
  <c r="E48" i="16" l="1"/>
  <c r="E67" i="16" s="1"/>
  <c r="E94" i="16" s="1"/>
  <c r="E31" i="16"/>
  <c r="E47" i="16" s="1"/>
  <c r="G31" i="16"/>
  <c r="G47" i="16" s="1"/>
  <c r="G48" i="16"/>
  <c r="G67" i="16" s="1"/>
  <c r="G94" i="16" s="1"/>
  <c r="G31" i="17"/>
  <c r="G47" i="17" s="1"/>
  <c r="G48" i="17"/>
  <c r="G67" i="17" s="1"/>
  <c r="G94" i="17" s="1"/>
  <c r="F31" i="17"/>
  <c r="F47" i="17" s="1"/>
  <c r="F48" i="17"/>
  <c r="F67" i="17" s="1"/>
  <c r="F94" i="17" s="1"/>
  <c r="F48" i="16"/>
  <c r="F67" i="16" s="1"/>
  <c r="F94" i="16" s="1"/>
  <c r="F31" i="16"/>
  <c r="F47" i="16" s="1"/>
  <c r="D31" i="17"/>
  <c r="D47" i="17" s="1"/>
  <c r="D48" i="17"/>
  <c r="E31" i="17"/>
  <c r="E47" i="17" s="1"/>
  <c r="E48" i="17"/>
  <c r="E67" i="17" s="1"/>
  <c r="E94" i="17" s="1"/>
  <c r="D31" i="16"/>
  <c r="D47" i="16" s="1"/>
  <c r="D48" i="16"/>
  <c r="G79" i="1"/>
  <c r="G94" i="1" s="1"/>
  <c r="G79" i="14"/>
  <c r="G94" i="14" s="1"/>
  <c r="G33" i="14"/>
  <c r="F79" i="1"/>
  <c r="F94" i="1" s="1"/>
  <c r="F79" i="14"/>
  <c r="F94" i="14" s="1"/>
  <c r="F33" i="14"/>
  <c r="E79" i="1"/>
  <c r="E94" i="1" s="1"/>
  <c r="E79" i="14"/>
  <c r="E94" i="14" s="1"/>
  <c r="E74" i="14"/>
  <c r="D79" i="14"/>
  <c r="D78" i="14"/>
  <c r="H48" i="16" l="1"/>
  <c r="D67" i="16"/>
  <c r="F66" i="17"/>
  <c r="F40" i="17" s="1"/>
  <c r="F108" i="17" s="1"/>
  <c r="F50" i="17"/>
  <c r="D66" i="16"/>
  <c r="D50" i="16"/>
  <c r="H47" i="16"/>
  <c r="E66" i="17"/>
  <c r="E50" i="17"/>
  <c r="F66" i="16"/>
  <c r="F40" i="16" s="1"/>
  <c r="F108" i="16" s="1"/>
  <c r="F50" i="16"/>
  <c r="G66" i="17"/>
  <c r="G40" i="17" s="1"/>
  <c r="G108" i="17" s="1"/>
  <c r="G50" i="17"/>
  <c r="D67" i="17"/>
  <c r="H48" i="17"/>
  <c r="D66" i="17"/>
  <c r="H47" i="17"/>
  <c r="D50" i="17"/>
  <c r="G66" i="16"/>
  <c r="G40" i="16" s="1"/>
  <c r="G108" i="16" s="1"/>
  <c r="G50" i="16"/>
  <c r="E50" i="16"/>
  <c r="E66" i="16"/>
  <c r="G74" i="14"/>
  <c r="E78" i="1"/>
  <c r="E93" i="1" s="1"/>
  <c r="E78" i="14"/>
  <c r="E93" i="14" s="1"/>
  <c r="D93" i="14"/>
  <c r="H79" i="14"/>
  <c r="D94" i="14"/>
  <c r="H94" i="14" s="1"/>
  <c r="E89" i="14"/>
  <c r="E75" i="14"/>
  <c r="E90" i="14" s="1"/>
  <c r="D79" i="1"/>
  <c r="E74" i="1"/>
  <c r="D78" i="1"/>
  <c r="F74" i="14"/>
  <c r="G51" i="17" l="1"/>
  <c r="G62" i="17" s="1"/>
  <c r="G51" i="16"/>
  <c r="G62" i="16" s="1"/>
  <c r="F51" i="17"/>
  <c r="F62" i="17" s="1"/>
  <c r="F51" i="16"/>
  <c r="F62" i="16" s="1"/>
  <c r="H50" i="16"/>
  <c r="H66" i="16"/>
  <c r="E93" i="16"/>
  <c r="E96" i="16" s="1"/>
  <c r="E40" i="16"/>
  <c r="E108" i="16" s="1"/>
  <c r="H66" i="17"/>
  <c r="D93" i="17"/>
  <c r="D40" i="17"/>
  <c r="D108" i="17" s="1"/>
  <c r="H67" i="17"/>
  <c r="D94" i="17"/>
  <c r="H94" i="17" s="1"/>
  <c r="E93" i="17"/>
  <c r="E96" i="17" s="1"/>
  <c r="E40" i="17"/>
  <c r="E108" i="17" s="1"/>
  <c r="D51" i="16"/>
  <c r="D68" i="16" s="1"/>
  <c r="E51" i="16"/>
  <c r="E62" i="16" s="1"/>
  <c r="D93" i="16"/>
  <c r="D40" i="16"/>
  <c r="D108" i="16" s="1"/>
  <c r="G93" i="17"/>
  <c r="G96" i="17" s="1"/>
  <c r="G93" i="16"/>
  <c r="G96" i="16" s="1"/>
  <c r="F93" i="17"/>
  <c r="F96" i="17" s="1"/>
  <c r="D51" i="17"/>
  <c r="D68" i="17" s="1"/>
  <c r="D69" i="17" s="1"/>
  <c r="F93" i="16"/>
  <c r="F96" i="16" s="1"/>
  <c r="H67" i="16"/>
  <c r="D94" i="16"/>
  <c r="H94" i="16" s="1"/>
  <c r="H50" i="17"/>
  <c r="E51" i="17"/>
  <c r="E62" i="17" s="1"/>
  <c r="G78" i="1"/>
  <c r="G78" i="14"/>
  <c r="G93" i="14" s="1"/>
  <c r="F78" i="1"/>
  <c r="F93" i="1" s="1"/>
  <c r="F78" i="14"/>
  <c r="E109" i="1"/>
  <c r="E41" i="14"/>
  <c r="E109" i="14" s="1"/>
  <c r="D109" i="1"/>
  <c r="D41" i="14"/>
  <c r="D109" i="14" s="1"/>
  <c r="G89" i="14"/>
  <c r="G75" i="14"/>
  <c r="G90" i="14" s="1"/>
  <c r="D80" i="1"/>
  <c r="D95" i="1" s="1"/>
  <c r="D80" i="14"/>
  <c r="F75" i="14"/>
  <c r="F90" i="14" s="1"/>
  <c r="F89" i="14"/>
  <c r="E80" i="1"/>
  <c r="E80" i="14"/>
  <c r="E89" i="1"/>
  <c r="E75" i="1"/>
  <c r="E90" i="1" s="1"/>
  <c r="G93" i="1"/>
  <c r="G74" i="1"/>
  <c r="D94" i="1"/>
  <c r="H94" i="1" s="1"/>
  <c r="H79" i="1"/>
  <c r="F74" i="1"/>
  <c r="H78" i="1"/>
  <c r="D93" i="1"/>
  <c r="D74" i="14"/>
  <c r="F68" i="16" l="1"/>
  <c r="F95" i="16" s="1"/>
  <c r="F89" i="17"/>
  <c r="F63" i="17"/>
  <c r="F90" i="17" s="1"/>
  <c r="F68" i="17"/>
  <c r="G89" i="16"/>
  <c r="G63" i="16"/>
  <c r="G90" i="16" s="1"/>
  <c r="G68" i="16"/>
  <c r="G89" i="17"/>
  <c r="G63" i="17"/>
  <c r="G90" i="17" s="1"/>
  <c r="G68" i="17"/>
  <c r="F89" i="16"/>
  <c r="F63" i="16"/>
  <c r="F90" i="16" s="1"/>
  <c r="E68" i="17"/>
  <c r="E95" i="17" s="1"/>
  <c r="D95" i="16"/>
  <c r="H95" i="16" s="1"/>
  <c r="H51" i="17"/>
  <c r="D62" i="17"/>
  <c r="E89" i="16"/>
  <c r="E63" i="16"/>
  <c r="E90" i="16" s="1"/>
  <c r="H51" i="16"/>
  <c r="D62" i="16"/>
  <c r="D95" i="17"/>
  <c r="H95" i="17" s="1"/>
  <c r="D69" i="16"/>
  <c r="H93" i="16"/>
  <c r="H96" i="16" s="1"/>
  <c r="D96" i="16"/>
  <c r="D106" i="17"/>
  <c r="D102" i="17"/>
  <c r="D103" i="17" s="1"/>
  <c r="H93" i="17"/>
  <c r="H96" i="17" s="1"/>
  <c r="D96" i="17"/>
  <c r="E89" i="17"/>
  <c r="E63" i="17"/>
  <c r="E90" i="17" s="1"/>
  <c r="E68" i="16"/>
  <c r="D81" i="1"/>
  <c r="G109" i="1"/>
  <c r="G41" i="14"/>
  <c r="G109" i="14" s="1"/>
  <c r="F93" i="14"/>
  <c r="H93" i="14" s="1"/>
  <c r="H78" i="14"/>
  <c r="F109" i="1"/>
  <c r="F41" i="14"/>
  <c r="F109" i="14" s="1"/>
  <c r="D75" i="14"/>
  <c r="D90" i="14" s="1"/>
  <c r="D89" i="14"/>
  <c r="E95" i="1"/>
  <c r="E96" i="1" s="1"/>
  <c r="E81" i="1"/>
  <c r="D105" i="1"/>
  <c r="D106" i="1" s="1"/>
  <c r="D105" i="14"/>
  <c r="D106" i="14" s="1"/>
  <c r="F80" i="1"/>
  <c r="F95" i="1" s="1"/>
  <c r="F96" i="1" s="1"/>
  <c r="F80" i="14"/>
  <c r="D81" i="14"/>
  <c r="D95" i="14"/>
  <c r="D96" i="14" s="1"/>
  <c r="H74" i="14"/>
  <c r="G80" i="1"/>
  <c r="G80" i="14"/>
  <c r="E81" i="14"/>
  <c r="E95" i="14"/>
  <c r="G89" i="1"/>
  <c r="G75" i="1"/>
  <c r="G90" i="1" s="1"/>
  <c r="D96" i="1"/>
  <c r="H93" i="1"/>
  <c r="D74" i="1"/>
  <c r="F89" i="1"/>
  <c r="F75" i="1"/>
  <c r="F90" i="1" s="1"/>
  <c r="F69" i="16" l="1"/>
  <c r="G95" i="16"/>
  <c r="G69" i="16"/>
  <c r="F95" i="17"/>
  <c r="F69" i="17"/>
  <c r="G95" i="17"/>
  <c r="G69" i="17"/>
  <c r="H68" i="17"/>
  <c r="H40" i="17" s="1"/>
  <c r="H108" i="17" s="1"/>
  <c r="B110" i="17" s="1"/>
  <c r="E69" i="17"/>
  <c r="D102" i="16"/>
  <c r="D103" i="16" s="1"/>
  <c r="D106" i="16"/>
  <c r="D89" i="16"/>
  <c r="D63" i="16"/>
  <c r="D90" i="16" s="1"/>
  <c r="H62" i="16"/>
  <c r="D89" i="17"/>
  <c r="D63" i="17"/>
  <c r="D90" i="17" s="1"/>
  <c r="H62" i="17"/>
  <c r="E95" i="16"/>
  <c r="E69" i="16"/>
  <c r="H68" i="16"/>
  <c r="E96" i="14"/>
  <c r="G81" i="14"/>
  <c r="G95" i="14"/>
  <c r="G96" i="14" s="1"/>
  <c r="F81" i="14"/>
  <c r="F95" i="14"/>
  <c r="F96" i="14" s="1"/>
  <c r="G95" i="1"/>
  <c r="G96" i="1" s="1"/>
  <c r="G81" i="1"/>
  <c r="E105" i="1"/>
  <c r="E106" i="1" s="1"/>
  <c r="E105" i="14"/>
  <c r="E106" i="14" s="1"/>
  <c r="F81" i="1"/>
  <c r="H89" i="14"/>
  <c r="H75" i="14"/>
  <c r="H90" i="14" s="1"/>
  <c r="H80" i="14"/>
  <c r="H81" i="14" s="1"/>
  <c r="F105" i="1"/>
  <c r="F105" i="14"/>
  <c r="H80" i="1"/>
  <c r="H81" i="1" s="1"/>
  <c r="H74" i="1"/>
  <c r="D89" i="1"/>
  <c r="D75" i="1"/>
  <c r="D90" i="1" s="1"/>
  <c r="H41" i="14"/>
  <c r="H109" i="14" s="1"/>
  <c r="F102" i="16" l="1"/>
  <c r="F106" i="16"/>
  <c r="F103" i="16"/>
  <c r="G106" i="17"/>
  <c r="G102" i="17"/>
  <c r="G103" i="17" s="1"/>
  <c r="G102" i="16"/>
  <c r="G103" i="16"/>
  <c r="G106" i="16"/>
  <c r="H69" i="17"/>
  <c r="C53" i="15" s="1"/>
  <c r="C54" i="15" s="1"/>
  <c r="F102" i="17"/>
  <c r="F103" i="17" s="1"/>
  <c r="F106" i="17"/>
  <c r="E102" i="17"/>
  <c r="E103" i="17" s="1"/>
  <c r="E106" i="17"/>
  <c r="H63" i="16"/>
  <c r="H89" i="16"/>
  <c r="H89" i="17"/>
  <c r="H63" i="17"/>
  <c r="H40" i="16"/>
  <c r="H108" i="16" s="1"/>
  <c r="B110" i="16" s="1"/>
  <c r="H69" i="16"/>
  <c r="E102" i="16"/>
  <c r="E103" i="16" s="1"/>
  <c r="E106" i="16"/>
  <c r="H95" i="14"/>
  <c r="H96" i="14" s="1"/>
  <c r="H105" i="1"/>
  <c r="H106" i="1" s="1"/>
  <c r="H105" i="14"/>
  <c r="H106" i="14" s="1"/>
  <c r="G105" i="1"/>
  <c r="G105" i="14"/>
  <c r="H95" i="1"/>
  <c r="H96" i="1" s="1"/>
  <c r="H109" i="1"/>
  <c r="H89" i="1"/>
  <c r="H75" i="1"/>
  <c r="H90" i="1" s="1"/>
  <c r="B56" i="15" l="1"/>
  <c r="C60" i="15"/>
  <c r="H106" i="17"/>
  <c r="H102" i="17"/>
  <c r="H103" i="17" s="1"/>
  <c r="H90" i="17"/>
  <c r="H90" i="16"/>
  <c r="H102" i="16"/>
  <c r="H103" i="16" s="1"/>
  <c r="H106" i="16"/>
  <c r="B62" i="15" l="1"/>
</calcChain>
</file>

<file path=xl/sharedStrings.xml><?xml version="1.0" encoding="utf-8"?>
<sst xmlns="http://schemas.openxmlformats.org/spreadsheetml/2006/main" count="561" uniqueCount="152">
  <si>
    <t>Toetsingsinkomen (gezamenlijk) tot en met</t>
  </si>
  <si>
    <t>Percentage kinderopvangtoeslag 1e kind</t>
  </si>
  <si>
    <t>Percentage kinderopvangtoeslag 2e en volgend kind</t>
  </si>
  <si>
    <t>Kind 1</t>
  </si>
  <si>
    <t>Kind 2</t>
  </si>
  <si>
    <t>Kind 3</t>
  </si>
  <si>
    <t>Kind 4</t>
  </si>
  <si>
    <t>Totaal</t>
  </si>
  <si>
    <t>Basisinformatie</t>
  </si>
  <si>
    <t>Maandelijkse factuur kinderopvang</t>
  </si>
  <si>
    <t>Niet in aanmerking komende kinderopvanguren / boven maximum</t>
  </si>
  <si>
    <t>Basis uren niet boven maximum</t>
  </si>
  <si>
    <t>Vergoeding kinderopvangtoeslag</t>
  </si>
  <si>
    <t>Totaal kosten factuur kinderopvang</t>
  </si>
  <si>
    <t>Toetsingsinkomen(gezamenlijk)vanaf</t>
  </si>
  <si>
    <t>-----&gt; selecteer</t>
  </si>
  <si>
    <t>Opvangsoort</t>
  </si>
  <si>
    <t>-----&gt; vul in</t>
  </si>
  <si>
    <t>&lt;---- vul in</t>
  </si>
  <si>
    <t>Let op Kind 1 = het kind met hoogste aantal kinderopvang uren</t>
  </si>
  <si>
    <t>Op zoek naar informatie over de kinderopvang of kinderopvangtoeslag :</t>
  </si>
  <si>
    <t>Op zoek naar een locatie kinderopvang</t>
  </si>
  <si>
    <t>KDV 0-4</t>
  </si>
  <si>
    <t>BSO 4-13</t>
  </si>
  <si>
    <t>Niet voor KOT in aanmerking komend (uurtarief)</t>
  </si>
  <si>
    <t>Niet voor KOT in aanmerking komend (boven maximum)</t>
  </si>
  <si>
    <t>In aanmerking komend voor berekening kinderopvangtoeslag</t>
  </si>
  <si>
    <t>Indicatie kinderopvangtoeslag per maand</t>
  </si>
  <si>
    <t>Volg ons ook op Facebook</t>
  </si>
  <si>
    <t>hanteren tarief</t>
  </si>
  <si>
    <t>Gastouder 0-13</t>
  </si>
  <si>
    <t>Volg ons ook op Instagram</t>
  </si>
  <si>
    <t>https://www.instagram.com/kinderopvangwijzer/</t>
  </si>
  <si>
    <t>https://www.kinderopvang-wijzer.nl/info-categorie/kinderopvangtoeslag/</t>
  </si>
  <si>
    <t>https://www.kinderopvang-wijzer.nl/</t>
  </si>
  <si>
    <t>https://www.facebook.com/kinderopvangwijzer</t>
  </si>
  <si>
    <t>Te hanteren uurtarief</t>
  </si>
  <si>
    <t>Niet in aanmerking komend (boven maximum uurtarief)</t>
  </si>
  <si>
    <t>Niet in aanmerking komend (boven maximum uuraantal)</t>
  </si>
  <si>
    <t>Eigen bijdrage (minimaal gedeelte te betalen)</t>
  </si>
  <si>
    <t>Totaal eigen bijdrage (de maandelijke netto kosten)</t>
  </si>
  <si>
    <t>Opbouw totaal eigen bijdrage (de maandelijkse netto kosten)</t>
  </si>
  <si>
    <t>Aan deze berekening kunnen geen rechten worden ontleend, het betreft een indicatie. Wijzigingen voorbehouden</t>
  </si>
  <si>
    <t>https://www.kinderopvanggratis.nl/</t>
  </si>
  <si>
    <t>Informatie over (bijna) gratis kinderopvang</t>
  </si>
  <si>
    <t xml:space="preserve">  </t>
  </si>
  <si>
    <t>Berekening netto kosten per maand in 2024</t>
  </si>
  <si>
    <t>Velden die je moet invullen</t>
  </si>
  <si>
    <t>Dit model gaat ervan uit dat u recht heeft op KOT en voldoet aan de voorwaarden van de Belastingdienst</t>
  </si>
  <si>
    <t xml:space="preserve">Welk gedeelte van kosten kinderopvang betaal jij en welk deel wordt gefinancierd door de Rijksoverheid. </t>
  </si>
  <si>
    <t>Let op : het betreft hier een rekenkundig verschil. Dit model houdt geen rekening met verschil in pakketten en de voorwaarden. Denk daarbij aan in- of exclusief eten, het aantal sluitingsdagen en andere pakketvoorwaarden.</t>
  </si>
  <si>
    <t>Maximum uurtarief belastingdienst 2024</t>
  </si>
  <si>
    <t>Vergoeding 2024 % volgens tabel kinderopvangtoeslag</t>
  </si>
  <si>
    <t>Fiscaal jaarinkomen huishouden 2024</t>
  </si>
  <si>
    <t>Het fiscaal jaarinkomen van het huishouden 2024</t>
  </si>
  <si>
    <t>Verschil % uurtarief tussen de 2 jaren</t>
  </si>
  <si>
    <t>Percentage gedeelte boven uurtarief 2024</t>
  </si>
  <si>
    <t>Jouw aandeel in bruto kosten kinderopvang 2024</t>
  </si>
  <si>
    <t>Bijdrage kinderopvangtoeslag in 2024</t>
  </si>
  <si>
    <t>Aantal uur per maand in 2024</t>
  </si>
  <si>
    <t>Totaal eigen bijdrage (de maandelijke netto kosten) 2024</t>
  </si>
  <si>
    <t>Gegevens 2024</t>
  </si>
  <si>
    <t>Gegevens 2025</t>
  </si>
  <si>
    <t>Fiscaal jaarinkomen huishouden 2025</t>
  </si>
  <si>
    <t>Het fiscaal jaarinkomen van het huishouden 2025</t>
  </si>
  <si>
    <t>Aantal uur per maand in 2025</t>
  </si>
  <si>
    <t>Maximum uurtarief belastingdienst 2025</t>
  </si>
  <si>
    <t>Vergoeding 2025 % volgens tabel kinderopvangtoeslag</t>
  </si>
  <si>
    <t>Percentage gedeelte boven uurtarief 2025</t>
  </si>
  <si>
    <t>Berekening netto kosten per maand in 2025</t>
  </si>
  <si>
    <t>Totaal eigen bijdrage (de maandelijke netto kosten) 2025</t>
  </si>
  <si>
    <t>Jouw aandeel in bruto kosten kinderopvang 2025</t>
  </si>
  <si>
    <t>Bijdrage kinderopvangtoeslag in 2025</t>
  </si>
  <si>
    <t>Aandeel in netto kosten door hoger uurtarief 2025 bij Organisatie 1</t>
  </si>
  <si>
    <t>Aandeel in netto kosten door hoger uurtarief 2025 bij Organisatie 2</t>
  </si>
  <si>
    <t>Vergelijk netto kinderopvangkosten 2025 en 2024</t>
  </si>
  <si>
    <t>Onderstaand de berekeningen van de netto kosten (oftewel de eigen bijdrage) per maand voor 2025 en 2024. Je treft er ook aan hoe de eigen bijdrage is opgebouwd en welk deel het gevolg is van tarieven of uren boven het maximum uurtarief</t>
  </si>
  <si>
    <t>Onderstaand de verschillen tussen 2025 en 2024. Een -/- bedrag is dus meer kosten in 2025 dan in 2024.</t>
  </si>
  <si>
    <t>Verschil tussen 2025 en 2024</t>
  </si>
  <si>
    <t>Uurtarief kinderopvangorganisatie in 2025</t>
  </si>
  <si>
    <t>Uurtarief kinderopvangorganisatie in 2024</t>
  </si>
  <si>
    <t>Versie 1.3 d.d. 20 oktober 2024</t>
  </si>
  <si>
    <t>Uuurtarieven en tabel KOT 2025 definitief</t>
  </si>
  <si>
    <t>Met dit model is het mogelijk om een vergelijk te maken tussen de netto kosten kinderopvang over het jaar 2025 en 2024. Hiervoor heb je nodig : (taxatie) inkomen van het huishouden, het aantal maandelijkse kinderopvanguren en de gehanteerde uurtarieven voor zowel 2025 als 2024.</t>
  </si>
  <si>
    <t>Aantal uur</t>
  </si>
  <si>
    <t>Selecteer opvangvorm</t>
  </si>
  <si>
    <t>Onderstaand de berekeningen van de netto kosten (oftewel de eigen bijdrage) per maand voor 2024 en 2024. Je treft er ook aan hoe de eigen bijdrage is opgebouwd en welk deel het gevolg is van tarieven of uren boven het maximum uurtarief</t>
  </si>
  <si>
    <t>Onderstaand de verschillen tussen 2024 en 2024. Een -/- bedrag is dus meer kosten in 2024 dan in 2024.</t>
  </si>
  <si>
    <t>KSH</t>
  </si>
  <si>
    <t>Bruto kosten kinderopvang</t>
  </si>
  <si>
    <t>Berekende kinderopvangtoeslag</t>
  </si>
  <si>
    <t>Eigen bijdrage per maand (netto kosten)</t>
  </si>
  <si>
    <t>Specificatie eigen bijdrage</t>
  </si>
  <si>
    <t>Kosten boven maximum uurtarief</t>
  </si>
  <si>
    <t>Kosten boven maximum uuraantal</t>
  </si>
  <si>
    <t>Uitkomsten</t>
  </si>
  <si>
    <t>1e kind</t>
  </si>
  <si>
    <t>2e kind e.v.</t>
  </si>
  <si>
    <t>Vergoedingspercentage kinderopvangtoeslag</t>
  </si>
  <si>
    <t xml:space="preserve">Mutatie </t>
  </si>
  <si>
    <t>Berekening maandelijkse eigen bijdrage</t>
  </si>
  <si>
    <t>Maandelijkse eigen bijdrage / netto kosten</t>
  </si>
  <si>
    <t>De eigen bijdrage in de kinderopvang is het deel van de kosten dat je zelf moet betalen, na aftrek van de vergoeding. Hieronder een overzicht van de bijdrage bij KSH en wat de ouders gemiddeld in Nederland betalen.</t>
  </si>
  <si>
    <t>Toelichting</t>
  </si>
  <si>
    <t>Het gaat hier om het fiscaal jaarinkomen van het huishouden. Is dat niet bekend kan het bruto jaarsalaris gebruikt worden.</t>
  </si>
  <si>
    <t>Jaarinkomen</t>
  </si>
  <si>
    <t>Opvangvorm</t>
  </si>
  <si>
    <t>De "grijze" velden moeten worden aangepast naar jouw situatie, dus opgaaf jaarinkomen, opvangvorm en het aantal uur per kind</t>
  </si>
  <si>
    <t>Hieronder in model vind je de specificaties van de berekening.</t>
  </si>
  <si>
    <t>Aandeel kosten kinderopvang in % jaarinkomen</t>
  </si>
  <si>
    <t xml:space="preserve">De berekeningen in dit document dienen als indicatie. Er kunnen afrondingsverschillen voorkomen. Aan deze cijfers kunnen geen rechten worden ontleend.
</t>
  </si>
  <si>
    <t>Opmerkingen</t>
  </si>
  <si>
    <t xml:space="preserve">Het percentage van de vergoeding is afhankelijk van de hoogte van het inkomen. Elk jaar worden de inkomensgrenzen aangepast op basis van de verwachte loonstijging. Als je inkomen sterker stijgt dan deze verwachte loonstijging, kan het zijn dat je in een lagere vergoedingscategorie valt en daardoor een lager percentage kinderopvangtoeslag ontvangt.
</t>
  </si>
  <si>
    <t>Het kan ook voorkomen dat er nog een gedeelte eigen bijdrage is omdat er meer dan 230 uur opvang betaald moet worden. Dat is bij KSH niet het geval.</t>
  </si>
  <si>
    <t>Selecteer een opvangvorm (KDV of BSO) en vul het aantal maandelijkse factuururen in. Kind 1 is het kind met het hoogste aantal uren. Bij afname VE peuteropvang kunnen er verschillen zijn.</t>
  </si>
  <si>
    <t>Vergelijk netto kinderopvangkosten 2026</t>
  </si>
  <si>
    <t>Uuurtarieven en tabel KOT 2026 definitief</t>
  </si>
  <si>
    <t>Met dit model is het mogelijk om een vergelijk te maken tussen de netto kosten kinderopvang over het jaar 2026 en 2024. Hiervoor heb je nodig : (taxatie) inkomen van het huishouden, het aantal maandelijkse kinderopvanguren en de gehanteerde uurtarieven voor zowel 2026 als 2024.</t>
  </si>
  <si>
    <t>Gegevens 2026</t>
  </si>
  <si>
    <t>Fiscaal jaarinkomen huishouden 2026</t>
  </si>
  <si>
    <t>Het fiscaal jaarinkomen van het huishouden 2026</t>
  </si>
  <si>
    <t>Aantal uur per maand in 2026</t>
  </si>
  <si>
    <t>Uurtarief kinderopvangorganisatie in 2026</t>
  </si>
  <si>
    <t>Maximum uurtarief belastingdienst 2026</t>
  </si>
  <si>
    <t>Vergoeding 2026 % volgens tabel kinderopvangtoeslag</t>
  </si>
  <si>
    <t>Percentage gedeelte boven uurtarief 2026</t>
  </si>
  <si>
    <t>Onderstaand de berekeningen van de netto kosten (oftewel de eigen bijdrage) per maand voor 2026 en 2024. Je treft er ook aan hoe de eigen bijdrage is opgebouwd en welk deel het gevolg is van tarieven of uren boven het maximum uurtarief</t>
  </si>
  <si>
    <t>Berekening netto kosten per maand in 2026</t>
  </si>
  <si>
    <t>Totaal eigen bijdrage (de maandelijke netto kosten) 2026</t>
  </si>
  <si>
    <t>Onderstaand de verschillen tussen 2026 en 2024. Een -/- bedrag is dus meer kosten in 2026 dan in 2024.</t>
  </si>
  <si>
    <t>Verschil tussen 2026 en 2024</t>
  </si>
  <si>
    <t>Jouw aandeel in bruto kosten kinderopvang 2026</t>
  </si>
  <si>
    <t>Bijdrage kinderopvangtoeslag in 2026</t>
  </si>
  <si>
    <t>Aandeel in netto kosten door hoger uurtarief 2026 bij Organisatie 1</t>
  </si>
  <si>
    <t>Aandeel in netto kosten door hoger uurtarief 2026 bij Organisatie 2</t>
  </si>
  <si>
    <t>Specificatie netto kosten per maand in 2025</t>
  </si>
  <si>
    <t>Het jaarinkomen in 2026 is ten opzichte van 2025 gewijzigd met %</t>
  </si>
  <si>
    <r>
      <t xml:space="preserve">Berekende netto eigen bijdrage </t>
    </r>
    <r>
      <rPr>
        <b/>
        <sz val="12"/>
        <color theme="9" tint="-0.249977111117893"/>
        <rFont val="Calibri"/>
        <family val="2"/>
        <scheme val="minor"/>
      </rPr>
      <t>2026</t>
    </r>
  </si>
  <si>
    <t xml:space="preserve">Mutatie netto kosten 2026 tov 2025 </t>
  </si>
  <si>
    <r>
      <t xml:space="preserve">Netto kosten in % van jaarinkomen in </t>
    </r>
    <r>
      <rPr>
        <b/>
        <sz val="12"/>
        <color theme="9" tint="-0.249977111117893"/>
        <rFont val="Calibri"/>
        <family val="2"/>
        <scheme val="minor"/>
      </rPr>
      <t>2026</t>
    </r>
  </si>
  <si>
    <r>
      <t xml:space="preserve">Specificatie netto kosten per maand in </t>
    </r>
    <r>
      <rPr>
        <b/>
        <sz val="12"/>
        <color theme="9" tint="-0.249977111117893"/>
        <rFont val="Calibri"/>
        <family val="2"/>
        <scheme val="minor"/>
      </rPr>
      <t>2026</t>
    </r>
  </si>
  <si>
    <t>Dit rekenmodel geeft inzicht in de maandelijkse netto kosten voor kinderopvang in 2026 en maakt een vergelijking met de kosten in 2025  Het model gaat ervan uit dat je voldoet aan de voorwaarden van de Belastingdienst voor het verkrijgen van de kinderopvangtoeslag.</t>
  </si>
  <si>
    <t>1e</t>
  </si>
  <si>
    <t>2e</t>
  </si>
  <si>
    <r>
      <t xml:space="preserve">Netto kosten in % van jaarinkomen in </t>
    </r>
    <r>
      <rPr>
        <b/>
        <sz val="12"/>
        <color rgb="FFFF0000"/>
        <rFont val="Calibri"/>
        <family val="2"/>
        <scheme val="minor"/>
      </rPr>
      <t>2025</t>
    </r>
  </si>
  <si>
    <r>
      <t xml:space="preserve">Berekende netto eigen bijdrage </t>
    </r>
    <r>
      <rPr>
        <b/>
        <sz val="12"/>
        <color rgb="FFFF0000"/>
        <rFont val="Calibri"/>
        <family val="2"/>
        <scheme val="minor"/>
      </rPr>
      <t>2025</t>
    </r>
  </si>
  <si>
    <r>
      <t xml:space="preserve">Jaar </t>
    </r>
    <r>
      <rPr>
        <b/>
        <sz val="12"/>
        <color rgb="FFFF0000"/>
        <rFont val="Calibri"/>
        <family val="2"/>
        <scheme val="minor"/>
      </rPr>
      <t>2025</t>
    </r>
  </si>
  <si>
    <r>
      <t xml:space="preserve">Jaar </t>
    </r>
    <r>
      <rPr>
        <b/>
        <sz val="12"/>
        <color theme="9" tint="-0.249977111117893"/>
        <rFont val="Calibri"/>
        <family val="2"/>
        <scheme val="minor"/>
      </rPr>
      <t>2026</t>
    </r>
  </si>
  <si>
    <r>
      <rPr>
        <b/>
        <sz val="12"/>
        <color theme="9"/>
        <rFont val="Calibri"/>
        <family val="2"/>
        <scheme val="minor"/>
      </rPr>
      <t>2026</t>
    </r>
    <r>
      <rPr>
        <sz val="12"/>
        <color theme="9"/>
        <rFont val="Calibri"/>
        <family val="2"/>
        <scheme val="minor"/>
      </rPr>
      <t xml:space="preserve"> </t>
    </r>
    <r>
      <rPr>
        <sz val="12"/>
        <color theme="1"/>
        <rFont val="Calibri"/>
        <family val="2"/>
        <scheme val="minor"/>
      </rPr>
      <t xml:space="preserve">: jaarinkomen huishouden </t>
    </r>
  </si>
  <si>
    <r>
      <rPr>
        <b/>
        <sz val="12"/>
        <color rgb="FFFF0000"/>
        <rFont val="Calibri"/>
        <family val="2"/>
        <scheme val="minor"/>
      </rPr>
      <t>2025</t>
    </r>
    <r>
      <rPr>
        <b/>
        <sz val="12"/>
        <color theme="1"/>
        <rFont val="Calibri"/>
        <family val="2"/>
        <scheme val="minor"/>
      </rPr>
      <t xml:space="preserve"> </t>
    </r>
    <r>
      <rPr>
        <sz val="12"/>
        <color theme="1"/>
        <rFont val="Calibri"/>
        <family val="2"/>
        <scheme val="minor"/>
      </rPr>
      <t xml:space="preserve">: jaarinkomen huishouden </t>
    </r>
  </si>
  <si>
    <t>Grens van 96 % vergoeding voor alle kinderen, in 2025 € 47.403, in 2026 is dat € 56.412. De inkomens hierboven hebben 3,2 % hogere vergoeding 1e kind en 1,1% kind voor 2e en volgende.</t>
  </si>
  <si>
    <t xml:space="preserve">In 2026 hanteert KSH uurtarieven die onder het maximum uurtarief voor kinderopvangtoeslag liggen (met uitzondering van o.a. de flex-tarieven en peuteropvang). Dit betekent dat ouders bij KSH geen extra deel van het uurtarief volledig uit eigen zak hoeven te betalen.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</si>
</sst>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 #,##0;[Red]&quot;€&quot;\ \-#,##0"/>
    <numFmt numFmtId="42" formatCode="_ &quot;€&quot;\ * #,##0_ ;_ &quot;€&quot;\ * \-#,##0_ ;_ &quot;€&quot;\ * &quot;-&quot;_ ;_ @_ "/>
    <numFmt numFmtId="44" formatCode="_ &quot;€&quot;\ * #,##0.00_ ;_ &quot;€&quot;\ * \-#,##0.00_ ;_ &quot;€&quot;\ * &quot;-&quot;??_ ;_ @_ "/>
    <numFmt numFmtId="164" formatCode="_ [$€-2]\ * #,##0_ ;_ [$€-2]\ * \-#,##0_ ;_ [$€-2]\ * &quot;-&quot;_ ;_ @_ "/>
    <numFmt numFmtId="165" formatCode="0.00_ ;[Red]\-0.00\ "/>
    <numFmt numFmtId="166" formatCode="#,##0_ ;[Red]\-#,##0\ "/>
  </numFmts>
  <fonts count="27"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Narrow"/>
      <family val="2"/>
    </font>
    <font>
      <sz val="10"/>
      <color rgb="FF4D4D4D"/>
      <name val="Segoe UI"/>
      <family val="2"/>
    </font>
    <font>
      <b/>
      <sz val="14"/>
      <color theme="1"/>
      <name val="Arial"/>
      <family val="2"/>
    </font>
    <font>
      <sz val="11"/>
      <color theme="1"/>
      <name val="Arial"/>
      <family val="2"/>
    </font>
    <font>
      <b/>
      <sz val="11"/>
      <color theme="1"/>
      <name val="Arial"/>
      <family val="2"/>
    </font>
    <font>
      <b/>
      <sz val="12"/>
      <color rgb="FFFF0000"/>
      <name val="Arial"/>
      <family val="2"/>
    </font>
    <font>
      <sz val="11"/>
      <color rgb="FFFF0000"/>
      <name val="Arial"/>
      <family val="2"/>
    </font>
    <font>
      <b/>
      <sz val="11"/>
      <color rgb="FFFF0000"/>
      <name val="Arial"/>
      <family val="2"/>
    </font>
    <font>
      <u val="singleAccounting"/>
      <sz val="11"/>
      <color theme="1"/>
      <name val="Arial"/>
      <family val="2"/>
    </font>
    <font>
      <sz val="8"/>
      <color theme="1"/>
      <name val="Arial"/>
      <family val="2"/>
    </font>
    <font>
      <sz val="9"/>
      <color theme="1"/>
      <name val="Arial"/>
      <family val="2"/>
    </font>
    <font>
      <u/>
      <sz val="9"/>
      <color theme="10"/>
      <name val="Arial"/>
      <family val="2"/>
    </font>
    <font>
      <sz val="11"/>
      <name val="Arial"/>
      <family val="2"/>
    </font>
    <font>
      <b/>
      <sz val="12"/>
      <color theme="1"/>
      <name val="Calibri"/>
      <family val="2"/>
      <scheme val="minor"/>
    </font>
    <font>
      <sz val="12"/>
      <color theme="1"/>
      <name val="Calibri"/>
      <family val="2"/>
      <scheme val="minor"/>
    </font>
    <font>
      <i/>
      <sz val="12"/>
      <color theme="1"/>
      <name val="Calibri"/>
      <family val="2"/>
      <scheme val="minor"/>
    </font>
    <font>
      <sz val="12"/>
      <color rgb="FFFF0000"/>
      <name val="Calibri"/>
      <family val="2"/>
      <scheme val="minor"/>
    </font>
    <font>
      <sz val="12"/>
      <name val="Calibri"/>
      <family val="2"/>
      <scheme val="minor"/>
    </font>
    <font>
      <b/>
      <sz val="12"/>
      <color rgb="FF00B050"/>
      <name val="Calibri"/>
      <family val="2"/>
      <scheme val="minor"/>
    </font>
    <font>
      <b/>
      <sz val="12"/>
      <color rgb="FFFF0000"/>
      <name val="Calibri"/>
      <family val="2"/>
      <scheme val="minor"/>
    </font>
    <font>
      <i/>
      <sz val="10"/>
      <name val="Calibri"/>
      <family val="2"/>
      <scheme val="minor"/>
    </font>
    <font>
      <b/>
      <sz val="12"/>
      <color theme="9" tint="-0.249977111117893"/>
      <name val="Calibri"/>
      <family val="2"/>
      <scheme val="minor"/>
    </font>
    <font>
      <sz val="12"/>
      <color theme="9"/>
      <name val="Calibri"/>
      <family val="2"/>
      <scheme val="minor"/>
    </font>
    <font>
      <b/>
      <sz val="12"/>
      <color theme="9"/>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2F4F7"/>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59999389629810485"/>
        <bgColor indexed="64"/>
      </patternFill>
    </fill>
  </fills>
  <borders count="15">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30">
    <xf numFmtId="0" fontId="0" fillId="0" borderId="0" xfId="0"/>
    <xf numFmtId="44" fontId="0" fillId="0" borderId="0" xfId="0" applyNumberFormat="1"/>
    <xf numFmtId="2" fontId="0" fillId="0" borderId="0" xfId="0" applyNumberFormat="1"/>
    <xf numFmtId="0" fontId="0" fillId="0" borderId="0" xfId="0" applyAlignment="1">
      <alignment horizontal="right"/>
    </xf>
    <xf numFmtId="0" fontId="3" fillId="0" borderId="0" xfId="0" applyFont="1" applyProtection="1">
      <protection locked="0"/>
    </xf>
    <xf numFmtId="44" fontId="2" fillId="0" borderId="0" xfId="0" applyNumberFormat="1" applyFont="1"/>
    <xf numFmtId="0" fontId="2" fillId="0" borderId="0" xfId="0" applyFont="1"/>
    <xf numFmtId="0" fontId="4" fillId="4" borderId="0" xfId="0" applyFont="1" applyFill="1" applyAlignment="1">
      <alignment vertical="center" wrapText="1"/>
    </xf>
    <xf numFmtId="3" fontId="4" fillId="4" borderId="0" xfId="0" applyNumberFormat="1" applyFont="1" applyFill="1" applyAlignment="1">
      <alignment vertical="center" wrapText="1"/>
    </xf>
    <xf numFmtId="0" fontId="6" fillId="0" borderId="0" xfId="0" applyFont="1"/>
    <xf numFmtId="42" fontId="6" fillId="0" borderId="0" xfId="0" applyNumberFormat="1" applyFont="1"/>
    <xf numFmtId="42" fontId="6" fillId="2" borderId="0" xfId="0" applyNumberFormat="1" applyFont="1" applyFill="1" applyProtection="1">
      <protection locked="0"/>
    </xf>
    <xf numFmtId="0" fontId="8" fillId="0" borderId="0" xfId="0" applyFont="1" applyAlignment="1">
      <alignment horizontal="right"/>
    </xf>
    <xf numFmtId="0" fontId="9" fillId="0" borderId="0" xfId="0" applyFont="1" applyAlignment="1">
      <alignment horizontal="left"/>
    </xf>
    <xf numFmtId="0" fontId="6" fillId="6" borderId="0" xfId="0" applyFont="1" applyFill="1"/>
    <xf numFmtId="0" fontId="7" fillId="6" borderId="0" xfId="0" applyFont="1" applyFill="1"/>
    <xf numFmtId="42" fontId="6" fillId="6" borderId="0" xfId="0" applyNumberFormat="1" applyFont="1" applyFill="1"/>
    <xf numFmtId="44" fontId="6" fillId="6" borderId="0" xfId="0" applyNumberFormat="1" applyFont="1" applyFill="1"/>
    <xf numFmtId="0" fontId="6" fillId="6" borderId="0" xfId="0" applyFont="1" applyFill="1" applyProtection="1">
      <protection hidden="1"/>
    </xf>
    <xf numFmtId="0" fontId="7" fillId="6" borderId="0" xfId="0" applyFont="1" applyFill="1" applyProtection="1">
      <protection hidden="1"/>
    </xf>
    <xf numFmtId="44" fontId="6" fillId="6" borderId="0" xfId="0" applyNumberFormat="1" applyFont="1" applyFill="1" applyProtection="1">
      <protection hidden="1"/>
    </xf>
    <xf numFmtId="42" fontId="6" fillId="6" borderId="0" xfId="0" applyNumberFormat="1" applyFont="1" applyFill="1" applyProtection="1">
      <protection hidden="1"/>
    </xf>
    <xf numFmtId="2" fontId="6" fillId="6" borderId="0" xfId="0" applyNumberFormat="1" applyFont="1" applyFill="1" applyProtection="1">
      <protection hidden="1"/>
    </xf>
    <xf numFmtId="10" fontId="6" fillId="6" borderId="0" xfId="0" applyNumberFormat="1" applyFont="1" applyFill="1" applyProtection="1">
      <protection hidden="1"/>
    </xf>
    <xf numFmtId="42" fontId="7" fillId="6" borderId="0" xfId="0" applyNumberFormat="1" applyFont="1" applyFill="1" applyAlignment="1" applyProtection="1">
      <alignment horizontal="right"/>
      <protection hidden="1"/>
    </xf>
    <xf numFmtId="42" fontId="7" fillId="6" borderId="0" xfId="0" applyNumberFormat="1" applyFont="1" applyFill="1" applyProtection="1">
      <protection hidden="1"/>
    </xf>
    <xf numFmtId="42" fontId="11" fillId="6" borderId="0" xfId="0" applyNumberFormat="1" applyFont="1" applyFill="1" applyProtection="1">
      <protection hidden="1"/>
    </xf>
    <xf numFmtId="0" fontId="10" fillId="6" borderId="0" xfId="0" applyFont="1" applyFill="1"/>
    <xf numFmtId="0" fontId="6" fillId="6" borderId="0" xfId="0" applyFont="1" applyFill="1" applyProtection="1">
      <protection locked="0"/>
    </xf>
    <xf numFmtId="0" fontId="10" fillId="6" borderId="0" xfId="0" quotePrefix="1" applyFont="1" applyFill="1"/>
    <xf numFmtId="0" fontId="13" fillId="6" borderId="2" xfId="0" applyFont="1" applyFill="1" applyBorder="1"/>
    <xf numFmtId="0" fontId="13" fillId="6" borderId="1" xfId="0" applyFont="1" applyFill="1" applyBorder="1"/>
    <xf numFmtId="0" fontId="14" fillId="6" borderId="1" xfId="1" applyFont="1" applyFill="1" applyBorder="1" applyAlignment="1" applyProtection="1">
      <protection locked="0" hidden="1"/>
    </xf>
    <xf numFmtId="0" fontId="13" fillId="6" borderId="3" xfId="0" applyFont="1" applyFill="1" applyBorder="1"/>
    <xf numFmtId="0" fontId="13" fillId="6" borderId="7" xfId="0" applyFont="1" applyFill="1" applyBorder="1"/>
    <xf numFmtId="0" fontId="14" fillId="6" borderId="0" xfId="1" applyFont="1" applyFill="1" applyBorder="1" applyAlignment="1" applyProtection="1">
      <protection locked="0" hidden="1"/>
    </xf>
    <xf numFmtId="0" fontId="13" fillId="6" borderId="8" xfId="0" applyFont="1" applyFill="1" applyBorder="1"/>
    <xf numFmtId="0" fontId="14" fillId="6" borderId="0" xfId="1" applyFont="1" applyFill="1" applyBorder="1" applyProtection="1">
      <protection locked="0" hidden="1"/>
    </xf>
    <xf numFmtId="42" fontId="13" fillId="6" borderId="8" xfId="0" applyNumberFormat="1" applyFont="1" applyFill="1" applyBorder="1"/>
    <xf numFmtId="0" fontId="13" fillId="6" borderId="4" xfId="0" applyFont="1" applyFill="1" applyBorder="1"/>
    <xf numFmtId="0" fontId="13" fillId="6" borderId="5" xfId="0" applyFont="1" applyFill="1" applyBorder="1"/>
    <xf numFmtId="0" fontId="14" fillId="6" borderId="5" xfId="1" applyFont="1" applyFill="1" applyBorder="1" applyProtection="1">
      <protection locked="0" hidden="1"/>
    </xf>
    <xf numFmtId="42" fontId="13" fillId="6" borderId="6" xfId="0" applyNumberFormat="1" applyFont="1" applyFill="1" applyBorder="1"/>
    <xf numFmtId="0" fontId="13" fillId="6" borderId="0" xfId="0" applyFont="1" applyFill="1"/>
    <xf numFmtId="2" fontId="6" fillId="6" borderId="0" xfId="0" applyNumberFormat="1" applyFont="1" applyFill="1"/>
    <xf numFmtId="0" fontId="6" fillId="7" borderId="1" xfId="0" applyFont="1" applyFill="1" applyBorder="1" applyProtection="1">
      <protection hidden="1"/>
    </xf>
    <xf numFmtId="42" fontId="6" fillId="7" borderId="1" xfId="0" applyNumberFormat="1" applyFont="1" applyFill="1" applyBorder="1" applyProtection="1">
      <protection hidden="1"/>
    </xf>
    <xf numFmtId="42" fontId="6" fillId="7" borderId="3" xfId="0" applyNumberFormat="1" applyFont="1" applyFill="1" applyBorder="1" applyProtection="1">
      <protection hidden="1"/>
    </xf>
    <xf numFmtId="0" fontId="6" fillId="7" borderId="7" xfId="0" applyFont="1" applyFill="1" applyBorder="1" applyProtection="1">
      <protection hidden="1"/>
    </xf>
    <xf numFmtId="0" fontId="6" fillId="7" borderId="0" xfId="0" applyFont="1" applyFill="1" applyProtection="1">
      <protection hidden="1"/>
    </xf>
    <xf numFmtId="0" fontId="7" fillId="7" borderId="7" xfId="0" applyFont="1" applyFill="1" applyBorder="1" applyProtection="1">
      <protection hidden="1"/>
    </xf>
    <xf numFmtId="0" fontId="7" fillId="7" borderId="0" xfId="0" applyFont="1" applyFill="1" applyProtection="1">
      <protection hidden="1"/>
    </xf>
    <xf numFmtId="0" fontId="7" fillId="7" borderId="4" xfId="0" applyFont="1" applyFill="1" applyBorder="1" applyProtection="1">
      <protection hidden="1"/>
    </xf>
    <xf numFmtId="0" fontId="6" fillId="7" borderId="5" xfId="0" applyFont="1" applyFill="1" applyBorder="1" applyProtection="1">
      <protection hidden="1"/>
    </xf>
    <xf numFmtId="0" fontId="7" fillId="5" borderId="9" xfId="0" applyFont="1" applyFill="1" applyBorder="1" applyProtection="1">
      <protection hidden="1"/>
    </xf>
    <xf numFmtId="164" fontId="6" fillId="7" borderId="0" xfId="0" applyNumberFormat="1" applyFont="1" applyFill="1" applyProtection="1">
      <protection hidden="1"/>
    </xf>
    <xf numFmtId="164" fontId="6" fillId="7" borderId="8" xfId="0" applyNumberFormat="1" applyFont="1" applyFill="1" applyBorder="1" applyProtection="1">
      <protection hidden="1"/>
    </xf>
    <xf numFmtId="164" fontId="11" fillId="7" borderId="0" xfId="0" applyNumberFormat="1" applyFont="1" applyFill="1" applyProtection="1">
      <protection hidden="1"/>
    </xf>
    <xf numFmtId="164" fontId="11" fillId="7" borderId="8" xfId="0" applyNumberFormat="1" applyFont="1" applyFill="1" applyBorder="1" applyProtection="1">
      <protection hidden="1"/>
    </xf>
    <xf numFmtId="164" fontId="7" fillId="7" borderId="0" xfId="0" applyNumberFormat="1" applyFont="1" applyFill="1" applyProtection="1">
      <protection hidden="1"/>
    </xf>
    <xf numFmtId="164" fontId="7" fillId="7" borderId="8" xfId="0" applyNumberFormat="1" applyFont="1" applyFill="1" applyBorder="1" applyProtection="1">
      <protection hidden="1"/>
    </xf>
    <xf numFmtId="164" fontId="7" fillId="7" borderId="5" xfId="0" applyNumberFormat="1" applyFont="1" applyFill="1" applyBorder="1" applyProtection="1">
      <protection hidden="1"/>
    </xf>
    <xf numFmtId="164" fontId="7" fillId="7" borderId="6" xfId="0" applyNumberFormat="1" applyFont="1" applyFill="1" applyBorder="1" applyProtection="1">
      <protection hidden="1"/>
    </xf>
    <xf numFmtId="0" fontId="6" fillId="6" borderId="0" xfId="0" applyFont="1" applyFill="1" applyAlignment="1">
      <alignment horizontal="center" vertical="top" wrapText="1"/>
    </xf>
    <xf numFmtId="0" fontId="6" fillId="8" borderId="0" xfId="0" applyFont="1" applyFill="1"/>
    <xf numFmtId="0" fontId="6" fillId="8" borderId="0" xfId="0" applyFont="1" applyFill="1" applyProtection="1">
      <protection hidden="1"/>
    </xf>
    <xf numFmtId="42" fontId="6" fillId="8" borderId="1" xfId="0" applyNumberFormat="1" applyFont="1" applyFill="1" applyBorder="1" applyProtection="1">
      <protection hidden="1"/>
    </xf>
    <xf numFmtId="42" fontId="6" fillId="8" borderId="3" xfId="0" applyNumberFormat="1" applyFont="1" applyFill="1" applyBorder="1" applyProtection="1">
      <protection hidden="1"/>
    </xf>
    <xf numFmtId="0" fontId="6" fillId="8" borderId="7" xfId="0" applyFont="1" applyFill="1" applyBorder="1" applyProtection="1">
      <protection hidden="1"/>
    </xf>
    <xf numFmtId="42" fontId="6" fillId="8" borderId="0" xfId="0" applyNumberFormat="1" applyFont="1" applyFill="1" applyProtection="1">
      <protection hidden="1"/>
    </xf>
    <xf numFmtId="42" fontId="6" fillId="8" borderId="8" xfId="0" applyNumberFormat="1" applyFont="1" applyFill="1" applyBorder="1" applyProtection="1">
      <protection hidden="1"/>
    </xf>
    <xf numFmtId="42" fontId="11" fillId="8" borderId="0" xfId="0" applyNumberFormat="1" applyFont="1" applyFill="1" applyProtection="1">
      <protection hidden="1"/>
    </xf>
    <xf numFmtId="42" fontId="11" fillId="8" borderId="8" xfId="0" applyNumberFormat="1" applyFont="1" applyFill="1" applyBorder="1" applyProtection="1">
      <protection hidden="1"/>
    </xf>
    <xf numFmtId="0" fontId="7" fillId="8" borderId="7" xfId="0" applyFont="1" applyFill="1" applyBorder="1" applyProtection="1">
      <protection hidden="1"/>
    </xf>
    <xf numFmtId="0" fontId="7" fillId="8" borderId="0" xfId="0" applyFont="1" applyFill="1" applyProtection="1">
      <protection hidden="1"/>
    </xf>
    <xf numFmtId="42" fontId="7" fillId="8" borderId="0" xfId="0" applyNumberFormat="1" applyFont="1" applyFill="1" applyProtection="1">
      <protection hidden="1"/>
    </xf>
    <xf numFmtId="42" fontId="7" fillId="8" borderId="8" xfId="0" applyNumberFormat="1" applyFont="1" applyFill="1" applyBorder="1" applyProtection="1">
      <protection hidden="1"/>
    </xf>
    <xf numFmtId="0" fontId="7" fillId="8" borderId="4" xfId="0" applyFont="1" applyFill="1" applyBorder="1" applyProtection="1">
      <protection hidden="1"/>
    </xf>
    <xf numFmtId="0" fontId="6" fillId="8" borderId="5" xfId="0" applyFont="1" applyFill="1" applyBorder="1" applyProtection="1">
      <protection hidden="1"/>
    </xf>
    <xf numFmtId="42" fontId="7" fillId="8" borderId="5" xfId="0" applyNumberFormat="1" applyFont="1" applyFill="1" applyBorder="1" applyProtection="1">
      <protection hidden="1"/>
    </xf>
    <xf numFmtId="42" fontId="7" fillId="8" borderId="6" xfId="0" applyNumberFormat="1" applyFont="1" applyFill="1" applyBorder="1" applyProtection="1">
      <protection hidden="1"/>
    </xf>
    <xf numFmtId="10" fontId="6" fillId="8" borderId="0" xfId="0" applyNumberFormat="1" applyFont="1" applyFill="1" applyProtection="1">
      <protection hidden="1"/>
    </xf>
    <xf numFmtId="0" fontId="6" fillId="9" borderId="0" xfId="0" applyFont="1" applyFill="1"/>
    <xf numFmtId="0" fontId="6" fillId="9" borderId="0" xfId="0" applyFont="1" applyFill="1" applyProtection="1">
      <protection hidden="1"/>
    </xf>
    <xf numFmtId="42" fontId="6" fillId="9" borderId="1" xfId="0" applyNumberFormat="1" applyFont="1" applyFill="1" applyBorder="1" applyProtection="1">
      <protection hidden="1"/>
    </xf>
    <xf numFmtId="42" fontId="6" fillId="9" borderId="3" xfId="0" applyNumberFormat="1" applyFont="1" applyFill="1" applyBorder="1" applyProtection="1">
      <protection hidden="1"/>
    </xf>
    <xf numFmtId="0" fontId="6" fillId="9" borderId="7" xfId="0" applyFont="1" applyFill="1" applyBorder="1" applyProtection="1">
      <protection hidden="1"/>
    </xf>
    <xf numFmtId="42" fontId="6" fillId="9" borderId="0" xfId="0" applyNumberFormat="1" applyFont="1" applyFill="1" applyProtection="1">
      <protection hidden="1"/>
    </xf>
    <xf numFmtId="42" fontId="6" fillId="9" borderId="8" xfId="0" applyNumberFormat="1" applyFont="1" applyFill="1" applyBorder="1" applyProtection="1">
      <protection hidden="1"/>
    </xf>
    <xf numFmtId="42" fontId="11" fillId="9" borderId="0" xfId="0" applyNumberFormat="1" applyFont="1" applyFill="1" applyProtection="1">
      <protection hidden="1"/>
    </xf>
    <xf numFmtId="42" fontId="11" fillId="9" borderId="8" xfId="0" applyNumberFormat="1" applyFont="1" applyFill="1" applyBorder="1" applyProtection="1">
      <protection hidden="1"/>
    </xf>
    <xf numFmtId="0" fontId="7" fillId="9" borderId="7" xfId="0" applyFont="1" applyFill="1" applyBorder="1" applyProtection="1">
      <protection hidden="1"/>
    </xf>
    <xf numFmtId="0" fontId="7" fillId="9" borderId="0" xfId="0" applyFont="1" applyFill="1" applyProtection="1">
      <protection hidden="1"/>
    </xf>
    <xf numFmtId="42" fontId="7" fillId="9" borderId="0" xfId="0" applyNumberFormat="1" applyFont="1" applyFill="1" applyProtection="1">
      <protection hidden="1"/>
    </xf>
    <xf numFmtId="42" fontId="7" fillId="9" borderId="8" xfId="0" applyNumberFormat="1" applyFont="1" applyFill="1" applyBorder="1" applyProtection="1">
      <protection hidden="1"/>
    </xf>
    <xf numFmtId="0" fontId="7" fillId="9" borderId="4" xfId="0" applyFont="1" applyFill="1" applyBorder="1" applyProtection="1">
      <protection hidden="1"/>
    </xf>
    <xf numFmtId="0" fontId="6" fillId="9" borderId="5" xfId="0" applyFont="1" applyFill="1" applyBorder="1" applyProtection="1">
      <protection hidden="1"/>
    </xf>
    <xf numFmtId="42" fontId="7" fillId="9" borderId="5" xfId="0" applyNumberFormat="1" applyFont="1" applyFill="1" applyBorder="1" applyProtection="1">
      <protection hidden="1"/>
    </xf>
    <xf numFmtId="42" fontId="7" fillId="9" borderId="6" xfId="0" applyNumberFormat="1" applyFont="1" applyFill="1" applyBorder="1" applyProtection="1">
      <protection hidden="1"/>
    </xf>
    <xf numFmtId="10" fontId="6" fillId="9" borderId="0" xfId="0" applyNumberFormat="1" applyFont="1" applyFill="1" applyProtection="1">
      <protection hidden="1"/>
    </xf>
    <xf numFmtId="0" fontId="15" fillId="8" borderId="0" xfId="0" applyFont="1" applyFill="1" applyProtection="1">
      <protection hidden="1"/>
    </xf>
    <xf numFmtId="0" fontId="15" fillId="9" borderId="0" xfId="0" applyFont="1" applyFill="1" applyProtection="1">
      <protection hidden="1"/>
    </xf>
    <xf numFmtId="0" fontId="6" fillId="6" borderId="2" xfId="0" applyFont="1" applyFill="1" applyBorder="1" applyProtection="1">
      <protection hidden="1"/>
    </xf>
    <xf numFmtId="42" fontId="7" fillId="6" borderId="3" xfId="0" applyNumberFormat="1" applyFont="1" applyFill="1" applyBorder="1" applyAlignment="1" applyProtection="1">
      <alignment horizontal="right"/>
      <protection hidden="1"/>
    </xf>
    <xf numFmtId="0" fontId="7" fillId="6" borderId="1" xfId="0" applyFont="1" applyFill="1" applyBorder="1" applyAlignment="1" applyProtection="1">
      <alignment horizontal="right"/>
      <protection hidden="1"/>
    </xf>
    <xf numFmtId="4" fontId="7" fillId="6" borderId="1" xfId="0" applyNumberFormat="1" applyFont="1" applyFill="1" applyBorder="1" applyAlignment="1" applyProtection="1">
      <alignment horizontal="right"/>
      <protection hidden="1"/>
    </xf>
    <xf numFmtId="0" fontId="7" fillId="2" borderId="0" xfId="0" applyFont="1" applyFill="1" applyAlignment="1" applyProtection="1">
      <alignment horizontal="right"/>
      <protection locked="0"/>
    </xf>
    <xf numFmtId="2" fontId="6" fillId="2" borderId="0" xfId="0" applyNumberFormat="1" applyFont="1" applyFill="1" applyAlignment="1" applyProtection="1">
      <alignment horizontal="right"/>
      <protection locked="0"/>
    </xf>
    <xf numFmtId="44" fontId="6" fillId="2" borderId="0" xfId="0" applyNumberFormat="1" applyFont="1" applyFill="1" applyAlignment="1" applyProtection="1">
      <alignment horizontal="right"/>
      <protection locked="0"/>
    </xf>
    <xf numFmtId="0" fontId="6" fillId="6" borderId="0" xfId="0" applyFont="1" applyFill="1" applyAlignment="1">
      <alignment vertical="top" wrapText="1"/>
    </xf>
    <xf numFmtId="10" fontId="6" fillId="8" borderId="8" xfId="0" applyNumberFormat="1" applyFont="1" applyFill="1" applyBorder="1" applyProtection="1">
      <protection hidden="1"/>
    </xf>
    <xf numFmtId="0" fontId="6" fillId="9" borderId="4" xfId="0" applyFont="1" applyFill="1" applyBorder="1" applyProtection="1">
      <protection hidden="1"/>
    </xf>
    <xf numFmtId="10" fontId="6" fillId="9" borderId="5" xfId="0" applyNumberFormat="1" applyFont="1" applyFill="1" applyBorder="1" applyProtection="1">
      <protection hidden="1"/>
    </xf>
    <xf numFmtId="10" fontId="6" fillId="9" borderId="6" xfId="0" applyNumberFormat="1" applyFont="1" applyFill="1" applyBorder="1" applyProtection="1">
      <protection hidden="1"/>
    </xf>
    <xf numFmtId="0" fontId="0" fillId="0" borderId="0" xfId="0" applyAlignment="1">
      <alignment horizontal="right" wrapText="1"/>
    </xf>
    <xf numFmtId="2" fontId="0" fillId="0" borderId="0" xfId="0" applyNumberFormat="1" applyAlignment="1">
      <alignment wrapText="1"/>
    </xf>
    <xf numFmtId="0" fontId="6" fillId="8" borderId="2" xfId="0" applyFont="1" applyFill="1" applyBorder="1" applyProtection="1">
      <protection hidden="1"/>
    </xf>
    <xf numFmtId="2" fontId="6" fillId="8" borderId="1" xfId="0" applyNumberFormat="1" applyFont="1" applyFill="1" applyBorder="1" applyProtection="1">
      <protection hidden="1"/>
    </xf>
    <xf numFmtId="2" fontId="6" fillId="9" borderId="5" xfId="0" applyNumberFormat="1" applyFont="1" applyFill="1" applyBorder="1" applyProtection="1">
      <protection hidden="1"/>
    </xf>
    <xf numFmtId="2" fontId="6" fillId="9" borderId="6" xfId="0" applyNumberFormat="1" applyFont="1" applyFill="1" applyBorder="1" applyProtection="1">
      <protection hidden="1"/>
    </xf>
    <xf numFmtId="44" fontId="6" fillId="8" borderId="1" xfId="0" applyNumberFormat="1" applyFont="1" applyFill="1" applyBorder="1" applyProtection="1">
      <protection hidden="1"/>
    </xf>
    <xf numFmtId="44" fontId="6" fillId="8" borderId="3" xfId="0" applyNumberFormat="1" applyFont="1" applyFill="1" applyBorder="1" applyProtection="1">
      <protection hidden="1"/>
    </xf>
    <xf numFmtId="0" fontId="6" fillId="6" borderId="7" xfId="0" applyFont="1" applyFill="1" applyBorder="1" applyProtection="1">
      <protection hidden="1"/>
    </xf>
    <xf numFmtId="44" fontId="6" fillId="6" borderId="8" xfId="0" applyNumberFormat="1" applyFont="1" applyFill="1" applyBorder="1" applyProtection="1">
      <protection hidden="1"/>
    </xf>
    <xf numFmtId="44" fontId="6" fillId="9" borderId="5" xfId="0" applyNumberFormat="1" applyFont="1" applyFill="1" applyBorder="1" applyProtection="1">
      <protection hidden="1"/>
    </xf>
    <xf numFmtId="44" fontId="6" fillId="9" borderId="6" xfId="0" applyNumberFormat="1" applyFont="1" applyFill="1" applyBorder="1" applyProtection="1">
      <protection hidden="1"/>
    </xf>
    <xf numFmtId="0" fontId="6" fillId="8" borderId="1" xfId="0" applyFont="1" applyFill="1" applyBorder="1" applyProtection="1">
      <protection hidden="1"/>
    </xf>
    <xf numFmtId="0" fontId="6" fillId="6" borderId="0" xfId="0" applyFont="1" applyFill="1" applyAlignment="1">
      <alignment horizontal="center" vertical="top" wrapText="1"/>
    </xf>
    <xf numFmtId="0" fontId="0" fillId="0" borderId="0" xfId="0"/>
    <xf numFmtId="0" fontId="6" fillId="0" borderId="0" xfId="0" applyFont="1"/>
    <xf numFmtId="0" fontId="8" fillId="0" borderId="0" xfId="0" applyFont="1" applyAlignment="1">
      <alignment horizontal="right"/>
    </xf>
    <xf numFmtId="0" fontId="9" fillId="0" borderId="0" xfId="0" applyFont="1" applyAlignment="1">
      <alignment horizontal="left"/>
    </xf>
    <xf numFmtId="0" fontId="6" fillId="6" borderId="0" xfId="0" applyFont="1" applyFill="1"/>
    <xf numFmtId="0" fontId="7" fillId="6" borderId="0" xfId="0" applyFont="1" applyFill="1"/>
    <xf numFmtId="0" fontId="6" fillId="6" borderId="0" xfId="0" applyFont="1" applyFill="1" applyProtection="1">
      <protection hidden="1"/>
    </xf>
    <xf numFmtId="0" fontId="7" fillId="6" borderId="0" xfId="0" applyFont="1" applyFill="1" applyProtection="1">
      <protection hidden="1"/>
    </xf>
    <xf numFmtId="2" fontId="6" fillId="6" borderId="0" xfId="0" applyNumberFormat="1" applyFont="1" applyFill="1" applyProtection="1">
      <protection hidden="1"/>
    </xf>
    <xf numFmtId="10" fontId="6" fillId="6" borderId="0" xfId="0" applyNumberFormat="1" applyFont="1" applyFill="1" applyProtection="1">
      <protection hidden="1"/>
    </xf>
    <xf numFmtId="0" fontId="10" fillId="6" borderId="0" xfId="0" applyFont="1" applyFill="1"/>
    <xf numFmtId="0" fontId="6" fillId="6" borderId="0" xfId="0" applyFont="1" applyFill="1" applyProtection="1">
      <protection locked="0"/>
    </xf>
    <xf numFmtId="0" fontId="10" fillId="6" borderId="0" xfId="0" quotePrefix="1" applyFont="1" applyFill="1"/>
    <xf numFmtId="0" fontId="13" fillId="6" borderId="2" xfId="0" applyFont="1" applyFill="1" applyBorder="1"/>
    <xf numFmtId="0" fontId="13" fillId="6" borderId="1" xfId="0" applyFont="1" applyFill="1" applyBorder="1"/>
    <xf numFmtId="0" fontId="14" fillId="6" borderId="1" xfId="1" applyFont="1" applyFill="1" applyBorder="1" applyAlignment="1" applyProtection="1">
      <protection locked="0" hidden="1"/>
    </xf>
    <xf numFmtId="0" fontId="13" fillId="6" borderId="3" xfId="0" applyFont="1" applyFill="1" applyBorder="1"/>
    <xf numFmtId="0" fontId="13" fillId="6" borderId="7" xfId="0" applyFont="1" applyFill="1" applyBorder="1"/>
    <xf numFmtId="0" fontId="14" fillId="6" borderId="0" xfId="1" applyFont="1" applyFill="1" applyBorder="1" applyAlignment="1" applyProtection="1">
      <protection locked="0" hidden="1"/>
    </xf>
    <xf numFmtId="0" fontId="13" fillId="6" borderId="8" xfId="0" applyFont="1" applyFill="1" applyBorder="1"/>
    <xf numFmtId="0" fontId="14" fillId="6" borderId="0" xfId="1" applyFont="1" applyFill="1" applyBorder="1" applyProtection="1">
      <protection locked="0" hidden="1"/>
    </xf>
    <xf numFmtId="0" fontId="13" fillId="6" borderId="4" xfId="0" applyFont="1" applyFill="1" applyBorder="1"/>
    <xf numFmtId="0" fontId="13" fillId="6" borderId="5" xfId="0" applyFont="1" applyFill="1" applyBorder="1"/>
    <xf numFmtId="0" fontId="14" fillId="6" borderId="5" xfId="1" applyFont="1" applyFill="1" applyBorder="1" applyProtection="1">
      <protection locked="0" hidden="1"/>
    </xf>
    <xf numFmtId="0" fontId="13" fillId="6" borderId="0" xfId="0" applyFont="1" applyFill="1"/>
    <xf numFmtId="2" fontId="6" fillId="6" borderId="0" xfId="0" applyNumberFormat="1" applyFont="1" applyFill="1"/>
    <xf numFmtId="0" fontId="6" fillId="7" borderId="1" xfId="0" applyFont="1" applyFill="1" applyBorder="1" applyProtection="1">
      <protection hidden="1"/>
    </xf>
    <xf numFmtId="0" fontId="6" fillId="7" borderId="7" xfId="0" applyFont="1" applyFill="1" applyBorder="1" applyProtection="1">
      <protection hidden="1"/>
    </xf>
    <xf numFmtId="0" fontId="6" fillId="7" borderId="0" xfId="0" applyFont="1" applyFill="1" applyProtection="1">
      <protection hidden="1"/>
    </xf>
    <xf numFmtId="0" fontId="7" fillId="7" borderId="7" xfId="0" applyFont="1" applyFill="1" applyBorder="1" applyProtection="1">
      <protection hidden="1"/>
    </xf>
    <xf numFmtId="0" fontId="7" fillId="7" borderId="0" xfId="0" applyFont="1" applyFill="1" applyProtection="1">
      <protection hidden="1"/>
    </xf>
    <xf numFmtId="0" fontId="7" fillId="7" borderId="4" xfId="0" applyFont="1" applyFill="1" applyBorder="1" applyProtection="1">
      <protection hidden="1"/>
    </xf>
    <xf numFmtId="0" fontId="6" fillId="7" borderId="5" xfId="0" applyFont="1" applyFill="1" applyBorder="1" applyProtection="1">
      <protection hidden="1"/>
    </xf>
    <xf numFmtId="0" fontId="7" fillId="5" borderId="9" xfId="0" applyFont="1" applyFill="1" applyBorder="1" applyProtection="1">
      <protection hidden="1"/>
    </xf>
    <xf numFmtId="164" fontId="6" fillId="7" borderId="0" xfId="0" applyNumberFormat="1" applyFont="1" applyFill="1" applyProtection="1">
      <protection hidden="1"/>
    </xf>
    <xf numFmtId="164" fontId="6" fillId="7" borderId="8" xfId="0" applyNumberFormat="1" applyFont="1" applyFill="1" applyBorder="1" applyProtection="1">
      <protection hidden="1"/>
    </xf>
    <xf numFmtId="164" fontId="11" fillId="7" borderId="0" xfId="0" applyNumberFormat="1" applyFont="1" applyFill="1" applyProtection="1">
      <protection hidden="1"/>
    </xf>
    <xf numFmtId="164" fontId="11" fillId="7" borderId="8" xfId="0" applyNumberFormat="1" applyFont="1" applyFill="1" applyBorder="1" applyProtection="1">
      <protection hidden="1"/>
    </xf>
    <xf numFmtId="164" fontId="7" fillId="7" borderId="0" xfId="0" applyNumberFormat="1" applyFont="1" applyFill="1" applyProtection="1">
      <protection hidden="1"/>
    </xf>
    <xf numFmtId="164" fontId="7" fillId="7" borderId="8" xfId="0" applyNumberFormat="1" applyFont="1" applyFill="1" applyBorder="1" applyProtection="1">
      <protection hidden="1"/>
    </xf>
    <xf numFmtId="164" fontId="7" fillId="7" borderId="5" xfId="0" applyNumberFormat="1" applyFont="1" applyFill="1" applyBorder="1" applyProtection="1">
      <protection hidden="1"/>
    </xf>
    <xf numFmtId="164" fontId="7" fillId="7" borderId="6" xfId="0" applyNumberFormat="1" applyFont="1" applyFill="1" applyBorder="1" applyProtection="1">
      <protection hidden="1"/>
    </xf>
    <xf numFmtId="0" fontId="6" fillId="6" borderId="0" xfId="0" applyFont="1" applyFill="1" applyAlignment="1">
      <alignment horizontal="center" vertical="top" wrapText="1"/>
    </xf>
    <xf numFmtId="0" fontId="6" fillId="8" borderId="0" xfId="0" applyFont="1" applyFill="1"/>
    <xf numFmtId="0" fontId="6" fillId="8" borderId="0" xfId="0" applyFont="1" applyFill="1" applyProtection="1">
      <protection hidden="1"/>
    </xf>
    <xf numFmtId="0" fontId="6" fillId="8" borderId="7" xfId="0" applyFont="1" applyFill="1" applyBorder="1" applyProtection="1">
      <protection hidden="1"/>
    </xf>
    <xf numFmtId="0" fontId="7" fillId="8" borderId="7" xfId="0" applyFont="1" applyFill="1" applyBorder="1" applyProtection="1">
      <protection hidden="1"/>
    </xf>
    <xf numFmtId="0" fontId="7" fillId="8" borderId="0" xfId="0" applyFont="1" applyFill="1" applyProtection="1">
      <protection hidden="1"/>
    </xf>
    <xf numFmtId="0" fontId="7" fillId="8" borderId="4" xfId="0" applyFont="1" applyFill="1" applyBorder="1" applyProtection="1">
      <protection hidden="1"/>
    </xf>
    <xf numFmtId="0" fontId="6" fillId="8" borderId="5" xfId="0" applyFont="1" applyFill="1" applyBorder="1" applyProtection="1">
      <protection hidden="1"/>
    </xf>
    <xf numFmtId="10" fontId="6" fillId="8" borderId="0" xfId="0" applyNumberFormat="1" applyFont="1" applyFill="1" applyProtection="1">
      <protection hidden="1"/>
    </xf>
    <xf numFmtId="0" fontId="6" fillId="9" borderId="0" xfId="0" applyFont="1" applyFill="1"/>
    <xf numFmtId="0" fontId="6" fillId="9" borderId="0" xfId="0" applyFont="1" applyFill="1" applyProtection="1">
      <protection hidden="1"/>
    </xf>
    <xf numFmtId="0" fontId="6" fillId="9" borderId="7" xfId="0" applyFont="1" applyFill="1" applyBorder="1" applyProtection="1">
      <protection hidden="1"/>
    </xf>
    <xf numFmtId="0" fontId="7" fillId="9" borderId="7" xfId="0" applyFont="1" applyFill="1" applyBorder="1" applyProtection="1">
      <protection hidden="1"/>
    </xf>
    <xf numFmtId="0" fontId="7" fillId="9" borderId="0" xfId="0" applyFont="1" applyFill="1" applyProtection="1">
      <protection hidden="1"/>
    </xf>
    <xf numFmtId="0" fontId="7" fillId="9" borderId="4" xfId="0" applyFont="1" applyFill="1" applyBorder="1" applyProtection="1">
      <protection hidden="1"/>
    </xf>
    <xf numFmtId="0" fontId="6" fillId="9" borderId="5" xfId="0" applyFont="1" applyFill="1" applyBorder="1" applyProtection="1">
      <protection hidden="1"/>
    </xf>
    <xf numFmtId="10" fontId="6" fillId="9" borderId="0" xfId="0" applyNumberFormat="1" applyFont="1" applyFill="1" applyProtection="1">
      <protection hidden="1"/>
    </xf>
    <xf numFmtId="0" fontId="15" fillId="8" borderId="0" xfId="0" applyFont="1" applyFill="1" applyProtection="1">
      <protection hidden="1"/>
    </xf>
    <xf numFmtId="0" fontId="15" fillId="9" borderId="0" xfId="0" applyFont="1" applyFill="1" applyProtection="1">
      <protection hidden="1"/>
    </xf>
    <xf numFmtId="0" fontId="6" fillId="6" borderId="2" xfId="0" applyFont="1" applyFill="1" applyBorder="1" applyProtection="1">
      <protection hidden="1"/>
    </xf>
    <xf numFmtId="0" fontId="7" fillId="6" borderId="1" xfId="0" applyFont="1" applyFill="1" applyBorder="1" applyAlignment="1" applyProtection="1">
      <alignment horizontal="right"/>
      <protection hidden="1"/>
    </xf>
    <xf numFmtId="4" fontId="7" fillId="6" borderId="1" xfId="0" applyNumberFormat="1" applyFont="1" applyFill="1" applyBorder="1" applyAlignment="1" applyProtection="1">
      <alignment horizontal="right"/>
      <protection hidden="1"/>
    </xf>
    <xf numFmtId="0" fontId="7" fillId="2" borderId="0" xfId="0" applyFont="1" applyFill="1" applyAlignment="1" applyProtection="1">
      <alignment horizontal="right"/>
      <protection locked="0"/>
    </xf>
    <xf numFmtId="2" fontId="6" fillId="2" borderId="0" xfId="0" applyNumberFormat="1" applyFont="1" applyFill="1" applyAlignment="1" applyProtection="1">
      <alignment horizontal="right"/>
      <protection locked="0"/>
    </xf>
    <xf numFmtId="0" fontId="6" fillId="6" borderId="0" xfId="0" applyFont="1" applyFill="1" applyAlignment="1">
      <alignment vertical="top" wrapText="1"/>
    </xf>
    <xf numFmtId="10" fontId="6" fillId="8" borderId="8" xfId="0" applyNumberFormat="1" applyFont="1" applyFill="1" applyBorder="1" applyProtection="1">
      <protection hidden="1"/>
    </xf>
    <xf numFmtId="0" fontId="6" fillId="9" borderId="4" xfId="0" applyFont="1" applyFill="1" applyBorder="1" applyProtection="1">
      <protection hidden="1"/>
    </xf>
    <xf numFmtId="10" fontId="6" fillId="9" borderId="5" xfId="0" applyNumberFormat="1" applyFont="1" applyFill="1" applyBorder="1" applyProtection="1">
      <protection hidden="1"/>
    </xf>
    <xf numFmtId="10" fontId="6" fillId="9" borderId="6" xfId="0" applyNumberFormat="1" applyFont="1" applyFill="1" applyBorder="1" applyProtection="1">
      <protection hidden="1"/>
    </xf>
    <xf numFmtId="0" fontId="6" fillId="8" borderId="2" xfId="0" applyFont="1" applyFill="1" applyBorder="1" applyProtection="1">
      <protection hidden="1"/>
    </xf>
    <xf numFmtId="2" fontId="6" fillId="8" borderId="1" xfId="0" applyNumberFormat="1" applyFont="1" applyFill="1" applyBorder="1" applyProtection="1">
      <protection hidden="1"/>
    </xf>
    <xf numFmtId="2" fontId="6" fillId="9" borderId="5" xfId="0" applyNumberFormat="1" applyFont="1" applyFill="1" applyBorder="1" applyProtection="1">
      <protection hidden="1"/>
    </xf>
    <xf numFmtId="2" fontId="6" fillId="9" borderId="6" xfId="0" applyNumberFormat="1" applyFont="1" applyFill="1" applyBorder="1" applyProtection="1">
      <protection hidden="1"/>
    </xf>
    <xf numFmtId="0" fontId="6" fillId="6" borderId="7" xfId="0" applyFont="1" applyFill="1" applyBorder="1" applyProtection="1">
      <protection hidden="1"/>
    </xf>
    <xf numFmtId="0" fontId="6" fillId="8" borderId="1" xfId="0" applyFont="1" applyFill="1" applyBorder="1" applyProtection="1">
      <protection hidden="1"/>
    </xf>
    <xf numFmtId="0" fontId="17" fillId="6" borderId="0" xfId="0" applyFont="1" applyFill="1" applyBorder="1" applyProtection="1"/>
    <xf numFmtId="0" fontId="17" fillId="6" borderId="0" xfId="0" applyFont="1" applyFill="1" applyBorder="1" applyAlignment="1" applyProtection="1">
      <alignment horizontal="center" vertical="top" wrapText="1"/>
    </xf>
    <xf numFmtId="0" fontId="16" fillId="6" borderId="0" xfId="0" applyFont="1" applyFill="1" applyBorder="1" applyAlignment="1" applyProtection="1">
      <alignment horizontal="center"/>
    </xf>
    <xf numFmtId="0" fontId="17" fillId="6" borderId="0" xfId="0" applyFont="1" applyFill="1" applyBorder="1" applyAlignment="1" applyProtection="1">
      <alignment vertical="top" wrapText="1"/>
    </xf>
    <xf numFmtId="42" fontId="17" fillId="6" borderId="0" xfId="0" applyNumberFormat="1" applyFont="1" applyFill="1" applyBorder="1" applyProtection="1"/>
    <xf numFmtId="0" fontId="17" fillId="6" borderId="0" xfId="0" applyFont="1" applyFill="1" applyProtection="1"/>
    <xf numFmtId="0" fontId="17" fillId="6" borderId="0" xfId="0" applyFont="1" applyFill="1" applyAlignment="1" applyProtection="1">
      <alignment horizontal="center" vertical="top" wrapText="1"/>
    </xf>
    <xf numFmtId="42" fontId="17" fillId="6" borderId="0" xfId="0" applyNumberFormat="1" applyFont="1" applyFill="1" applyProtection="1"/>
    <xf numFmtId="0" fontId="16" fillId="6" borderId="0" xfId="0" applyFont="1" applyFill="1" applyProtection="1"/>
    <xf numFmtId="0" fontId="17" fillId="6" borderId="2" xfId="0" applyFont="1" applyFill="1" applyBorder="1" applyProtection="1"/>
    <xf numFmtId="0" fontId="17" fillId="6" borderId="1" xfId="0" applyFont="1" applyFill="1" applyBorder="1" applyProtection="1"/>
    <xf numFmtId="0" fontId="19" fillId="6" borderId="0" xfId="0" applyFont="1" applyFill="1" applyAlignment="1" applyProtection="1">
      <alignment horizontal="left"/>
    </xf>
    <xf numFmtId="0" fontId="17" fillId="6" borderId="4" xfId="0" applyFont="1" applyFill="1" applyBorder="1" applyProtection="1"/>
    <xf numFmtId="0" fontId="17" fillId="6" borderId="5" xfId="0" applyFont="1" applyFill="1" applyBorder="1" applyProtection="1"/>
    <xf numFmtId="0" fontId="16" fillId="6" borderId="0" xfId="0" applyFont="1" applyFill="1" applyAlignment="1" applyProtection="1">
      <alignment horizontal="right"/>
    </xf>
    <xf numFmtId="0" fontId="20" fillId="6" borderId="0" xfId="0" applyFont="1" applyFill="1" applyAlignment="1" applyProtection="1">
      <alignment wrapText="1"/>
    </xf>
    <xf numFmtId="0" fontId="17" fillId="6" borderId="0" xfId="0" applyFont="1" applyFill="1" applyAlignment="1" applyProtection="1">
      <alignment wrapText="1"/>
    </xf>
    <xf numFmtId="2" fontId="17" fillId="6" borderId="0" xfId="0" applyNumberFormat="1" applyFont="1" applyFill="1" applyAlignment="1" applyProtection="1">
      <alignment horizontal="right"/>
    </xf>
    <xf numFmtId="2" fontId="17" fillId="6" borderId="5" xfId="0" applyNumberFormat="1" applyFont="1" applyFill="1" applyBorder="1" applyAlignment="1" applyProtection="1">
      <alignment horizontal="right"/>
    </xf>
    <xf numFmtId="165" fontId="17" fillId="6" borderId="0" xfId="0" applyNumberFormat="1" applyFont="1" applyFill="1" applyProtection="1"/>
    <xf numFmtId="0" fontId="16" fillId="6" borderId="10" xfId="0" applyFont="1" applyFill="1" applyBorder="1" applyProtection="1"/>
    <xf numFmtId="0" fontId="16" fillId="6" borderId="11" xfId="0" applyFont="1" applyFill="1" applyBorder="1" applyAlignment="1" applyProtection="1">
      <alignment horizontal="right"/>
    </xf>
    <xf numFmtId="0" fontId="16" fillId="6" borderId="12" xfId="0" applyFont="1" applyFill="1" applyBorder="1" applyAlignment="1" applyProtection="1">
      <alignment horizontal="right"/>
    </xf>
    <xf numFmtId="42" fontId="17" fillId="6" borderId="0" xfId="0" applyNumberFormat="1" applyFont="1" applyFill="1" applyBorder="1" applyAlignment="1" applyProtection="1">
      <alignment horizontal="right"/>
    </xf>
    <xf numFmtId="42" fontId="17" fillId="6" borderId="5" xfId="0" applyNumberFormat="1" applyFont="1" applyFill="1" applyBorder="1" applyAlignment="1" applyProtection="1">
      <alignment horizontal="right"/>
    </xf>
    <xf numFmtId="42" fontId="16" fillId="6" borderId="0" xfId="0" applyNumberFormat="1" applyFont="1" applyFill="1" applyBorder="1" applyAlignment="1" applyProtection="1">
      <alignment horizontal="right"/>
    </xf>
    <xf numFmtId="166" fontId="16" fillId="6" borderId="0" xfId="0" applyNumberFormat="1" applyFont="1" applyFill="1" applyBorder="1" applyAlignment="1" applyProtection="1">
      <alignment horizontal="right"/>
    </xf>
    <xf numFmtId="0" fontId="17" fillId="6" borderId="7" xfId="0" applyFont="1" applyFill="1" applyBorder="1" applyProtection="1"/>
    <xf numFmtId="0" fontId="16" fillId="6" borderId="7" xfId="0" applyFont="1" applyFill="1" applyBorder="1" applyProtection="1"/>
    <xf numFmtId="0" fontId="16" fillId="6" borderId="4" xfId="0" applyFont="1" applyFill="1" applyBorder="1" applyProtection="1"/>
    <xf numFmtId="0" fontId="22" fillId="6" borderId="0" xfId="0" applyFont="1" applyFill="1" applyAlignment="1" applyProtection="1"/>
    <xf numFmtId="42" fontId="17" fillId="6" borderId="8" xfId="0" applyNumberFormat="1" applyFont="1" applyFill="1" applyBorder="1" applyAlignment="1" applyProtection="1">
      <alignment horizontal="right"/>
    </xf>
    <xf numFmtId="42" fontId="17" fillId="6" borderId="6" xfId="0" applyNumberFormat="1" applyFont="1" applyFill="1" applyBorder="1" applyAlignment="1" applyProtection="1">
      <alignment horizontal="right"/>
    </xf>
    <xf numFmtId="42" fontId="16" fillId="6" borderId="8" xfId="0" applyNumberFormat="1" applyFont="1" applyFill="1" applyBorder="1" applyAlignment="1" applyProtection="1">
      <alignment horizontal="right"/>
    </xf>
    <xf numFmtId="42" fontId="16" fillId="6" borderId="6" xfId="0" applyNumberFormat="1" applyFont="1" applyFill="1" applyBorder="1" applyAlignment="1" applyProtection="1">
      <alignment horizontal="right"/>
    </xf>
    <xf numFmtId="2" fontId="17" fillId="6" borderId="0" xfId="0" applyNumberFormat="1" applyFont="1" applyFill="1" applyAlignment="1" applyProtection="1"/>
    <xf numFmtId="2" fontId="17" fillId="6" borderId="5" xfId="0" applyNumberFormat="1" applyFont="1" applyFill="1" applyBorder="1" applyAlignment="1" applyProtection="1"/>
    <xf numFmtId="42" fontId="17" fillId="12" borderId="13" xfId="0" applyNumberFormat="1" applyFont="1" applyFill="1" applyBorder="1" applyProtection="1">
      <protection locked="0"/>
    </xf>
    <xf numFmtId="42" fontId="17" fillId="12" borderId="14" xfId="0" applyNumberFormat="1" applyFont="1" applyFill="1" applyBorder="1" applyProtection="1">
      <protection locked="0"/>
    </xf>
    <xf numFmtId="0" fontId="17" fillId="12" borderId="2" xfId="0" applyFont="1" applyFill="1" applyBorder="1" applyAlignment="1" applyProtection="1">
      <alignment horizontal="left"/>
      <protection locked="0"/>
    </xf>
    <xf numFmtId="0" fontId="17" fillId="12" borderId="7" xfId="0" applyFont="1" applyFill="1" applyBorder="1" applyAlignment="1" applyProtection="1">
      <alignment horizontal="left"/>
      <protection locked="0"/>
    </xf>
    <xf numFmtId="0" fontId="17" fillId="12" borderId="4" xfId="0" applyFont="1" applyFill="1" applyBorder="1" applyAlignment="1" applyProtection="1">
      <alignment horizontal="left"/>
      <protection locked="0"/>
    </xf>
    <xf numFmtId="2" fontId="17" fillId="12" borderId="3" xfId="0" applyNumberFormat="1" applyFont="1" applyFill="1" applyBorder="1" applyAlignment="1" applyProtection="1">
      <alignment horizontal="right"/>
      <protection locked="0"/>
    </xf>
    <xf numFmtId="2" fontId="17" fillId="12" borderId="8" xfId="0" applyNumberFormat="1" applyFont="1" applyFill="1" applyBorder="1" applyAlignment="1" applyProtection="1">
      <alignment horizontal="right"/>
      <protection locked="0"/>
    </xf>
    <xf numFmtId="2" fontId="17" fillId="12" borderId="6" xfId="0" applyNumberFormat="1" applyFont="1" applyFill="1" applyBorder="1" applyAlignment="1" applyProtection="1">
      <alignment horizontal="right"/>
      <protection locked="0"/>
    </xf>
    <xf numFmtId="6" fontId="4" fillId="4" borderId="0" xfId="0" applyNumberFormat="1" applyFont="1" applyFill="1" applyAlignment="1">
      <alignment vertical="center" wrapText="1"/>
    </xf>
    <xf numFmtId="10" fontId="0" fillId="0" borderId="0" xfId="0" applyNumberFormat="1"/>
    <xf numFmtId="3" fontId="4" fillId="5" borderId="0" xfId="0" applyNumberFormat="1" applyFont="1" applyFill="1" applyAlignment="1">
      <alignment vertical="center" wrapText="1"/>
    </xf>
    <xf numFmtId="2" fontId="0" fillId="5" borderId="0" xfId="0" applyNumberFormat="1" applyFill="1"/>
    <xf numFmtId="0" fontId="0" fillId="5" borderId="0" xfId="0" applyFill="1"/>
    <xf numFmtId="10" fontId="0" fillId="5" borderId="0" xfId="0" applyNumberFormat="1" applyFill="1"/>
    <xf numFmtId="10" fontId="17" fillId="6" borderId="8" xfId="0" applyNumberFormat="1" applyFont="1" applyFill="1" applyBorder="1" applyProtection="1"/>
    <xf numFmtId="10" fontId="17" fillId="6" borderId="6" xfId="0" applyNumberFormat="1" applyFont="1" applyFill="1" applyBorder="1" applyProtection="1"/>
    <xf numFmtId="0" fontId="17" fillId="6" borderId="0" xfId="0" applyFont="1" applyFill="1" applyBorder="1" applyAlignment="1" applyProtection="1">
      <alignment horizontal="center" wrapText="1"/>
    </xf>
    <xf numFmtId="0" fontId="17" fillId="6" borderId="0" xfId="0" applyFont="1" applyFill="1" applyAlignment="1" applyProtection="1">
      <alignment horizontal="center" wrapText="1"/>
    </xf>
    <xf numFmtId="0" fontId="17" fillId="6" borderId="1" xfId="0" applyFont="1" applyFill="1" applyBorder="1" applyAlignment="1" applyProtection="1">
      <alignment horizontal="center" wrapText="1"/>
    </xf>
    <xf numFmtId="0" fontId="23" fillId="6" borderId="0" xfId="0" applyFont="1" applyFill="1" applyAlignment="1" applyProtection="1">
      <alignment horizontal="center"/>
    </xf>
    <xf numFmtId="0" fontId="16" fillId="10" borderId="10" xfId="0" applyFont="1" applyFill="1" applyBorder="1" applyAlignment="1" applyProtection="1">
      <alignment horizontal="center"/>
    </xf>
    <xf numFmtId="0" fontId="16" fillId="10" borderId="11" xfId="0" applyFont="1" applyFill="1" applyBorder="1" applyAlignment="1" applyProtection="1">
      <alignment horizontal="center"/>
    </xf>
    <xf numFmtId="0" fontId="16" fillId="10" borderId="12" xfId="0" applyFont="1" applyFill="1" applyBorder="1" applyAlignment="1" applyProtection="1">
      <alignment horizontal="center"/>
    </xf>
    <xf numFmtId="0" fontId="16" fillId="11" borderId="10" xfId="0" applyFont="1" applyFill="1" applyBorder="1" applyAlignment="1" applyProtection="1">
      <alignment horizontal="center"/>
    </xf>
    <xf numFmtId="0" fontId="16" fillId="11" borderId="11" xfId="0" applyFont="1" applyFill="1" applyBorder="1" applyAlignment="1" applyProtection="1">
      <alignment horizontal="center"/>
    </xf>
    <xf numFmtId="0" fontId="16" fillId="11" borderId="12" xfId="0" applyFont="1" applyFill="1" applyBorder="1" applyAlignment="1" applyProtection="1">
      <alignment horizontal="center"/>
    </xf>
    <xf numFmtId="0" fontId="21" fillId="6" borderId="0" xfId="0" applyFont="1" applyFill="1" applyAlignment="1" applyProtection="1">
      <alignment horizontal="left"/>
    </xf>
    <xf numFmtId="0" fontId="22" fillId="6" borderId="0" xfId="0" applyFont="1" applyFill="1" applyAlignment="1" applyProtection="1">
      <alignment horizontal="left"/>
    </xf>
    <xf numFmtId="0" fontId="22" fillId="6" borderId="5" xfId="0" applyFont="1" applyFill="1" applyBorder="1" applyAlignment="1" applyProtection="1">
      <alignment horizontal="left"/>
    </xf>
    <xf numFmtId="0" fontId="16" fillId="6" borderId="0" xfId="0" applyFont="1" applyFill="1" applyBorder="1" applyAlignment="1" applyProtection="1">
      <alignment horizontal="center" wrapText="1"/>
    </xf>
    <xf numFmtId="0" fontId="18" fillId="6" borderId="0" xfId="0" applyFont="1" applyFill="1" applyBorder="1" applyAlignment="1" applyProtection="1">
      <alignment horizontal="center"/>
    </xf>
    <xf numFmtId="0" fontId="17" fillId="6" borderId="0" xfId="0" applyFont="1" applyFill="1" applyBorder="1" applyAlignment="1" applyProtection="1">
      <alignment horizontal="center" vertical="top" wrapText="1"/>
    </xf>
    <xf numFmtId="0" fontId="19" fillId="6" borderId="0" xfId="0" applyFont="1" applyFill="1" applyAlignment="1" applyProtection="1">
      <alignment horizontal="left"/>
    </xf>
    <xf numFmtId="0" fontId="20" fillId="6" borderId="0" xfId="0" applyFont="1" applyFill="1" applyAlignment="1" applyProtection="1">
      <alignment horizontal="center" vertical="top" wrapText="1"/>
    </xf>
    <xf numFmtId="0" fontId="20" fillId="6" borderId="1" xfId="0" applyFont="1" applyFill="1" applyBorder="1" applyAlignment="1" applyProtection="1">
      <alignment horizontal="center" vertical="top" wrapText="1"/>
    </xf>
    <xf numFmtId="0" fontId="7" fillId="5" borderId="2" xfId="0" applyFont="1" applyFill="1" applyBorder="1" applyAlignment="1" applyProtection="1">
      <alignment horizontal="left"/>
      <protection hidden="1"/>
    </xf>
    <xf numFmtId="0" fontId="7" fillId="5" borderId="1" xfId="0" applyFont="1" applyFill="1" applyBorder="1" applyAlignment="1" applyProtection="1">
      <alignment horizontal="left"/>
      <protection hidden="1"/>
    </xf>
    <xf numFmtId="0" fontId="5" fillId="3" borderId="2" xfId="0" applyFont="1" applyFill="1" applyBorder="1" applyAlignment="1">
      <alignment horizontal="center" wrapText="1"/>
    </xf>
    <xf numFmtId="0" fontId="5" fillId="3" borderId="1" xfId="0" applyFont="1" applyFill="1" applyBorder="1" applyAlignment="1">
      <alignment horizontal="center" wrapText="1"/>
    </xf>
    <xf numFmtId="0" fontId="5" fillId="3" borderId="3" xfId="0" applyFont="1" applyFill="1" applyBorder="1" applyAlignment="1">
      <alignment horizontal="center" wrapText="1"/>
    </xf>
    <xf numFmtId="0" fontId="5" fillId="3" borderId="7" xfId="0" applyFont="1" applyFill="1" applyBorder="1" applyAlignment="1">
      <alignment horizontal="center" wrapText="1"/>
    </xf>
    <xf numFmtId="0" fontId="5" fillId="3" borderId="0" xfId="0" applyFont="1" applyFill="1" applyBorder="1" applyAlignment="1">
      <alignment horizontal="center" wrapText="1"/>
    </xf>
    <xf numFmtId="0" fontId="5" fillId="3" borderId="8" xfId="0" applyFont="1" applyFill="1" applyBorder="1" applyAlignment="1">
      <alignment horizontal="center" wrapText="1"/>
    </xf>
    <xf numFmtId="0" fontId="1" fillId="3" borderId="7" xfId="1" applyFill="1" applyBorder="1" applyAlignment="1">
      <alignment horizontal="center"/>
    </xf>
    <xf numFmtId="0" fontId="1" fillId="3" borderId="0" xfId="1" applyFill="1" applyBorder="1" applyAlignment="1">
      <alignment horizontal="center"/>
    </xf>
    <xf numFmtId="0" fontId="1" fillId="3" borderId="8" xfId="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6" fillId="6" borderId="2" xfId="0" applyFont="1" applyFill="1" applyBorder="1" applyAlignment="1">
      <alignment horizontal="center" vertical="top" wrapText="1"/>
    </xf>
    <xf numFmtId="0" fontId="6" fillId="6" borderId="1" xfId="0" applyFont="1" applyFill="1" applyBorder="1" applyAlignment="1">
      <alignment horizontal="center" vertical="top" wrapText="1"/>
    </xf>
    <xf numFmtId="0" fontId="6" fillId="6" borderId="3" xfId="0" applyFont="1" applyFill="1" applyBorder="1" applyAlignment="1">
      <alignment horizontal="center" vertical="top" wrapText="1"/>
    </xf>
    <xf numFmtId="0" fontId="6" fillId="6" borderId="7" xfId="0" applyFont="1" applyFill="1" applyBorder="1" applyAlignment="1">
      <alignment horizontal="center" vertical="top" wrapText="1"/>
    </xf>
    <xf numFmtId="0" fontId="6" fillId="6" borderId="0" xfId="0" applyFont="1" applyFill="1" applyBorder="1" applyAlignment="1">
      <alignment horizontal="center" vertical="top" wrapText="1"/>
    </xf>
    <xf numFmtId="0" fontId="6" fillId="6" borderId="8" xfId="0" applyFont="1" applyFill="1" applyBorder="1" applyAlignment="1">
      <alignment horizontal="center" vertical="top" wrapText="1"/>
    </xf>
    <xf numFmtId="0" fontId="6" fillId="6" borderId="4" xfId="0" applyFont="1" applyFill="1" applyBorder="1" applyAlignment="1">
      <alignment horizontal="center" vertical="top" wrapText="1"/>
    </xf>
    <xf numFmtId="0" fontId="6" fillId="6" borderId="5" xfId="0" applyFont="1" applyFill="1" applyBorder="1" applyAlignment="1">
      <alignment horizontal="center" vertical="top" wrapText="1"/>
    </xf>
    <xf numFmtId="0" fontId="6" fillId="6" borderId="6" xfId="0" applyFont="1" applyFill="1" applyBorder="1" applyAlignment="1">
      <alignment horizontal="center" vertical="top" wrapText="1"/>
    </xf>
    <xf numFmtId="0" fontId="7" fillId="6" borderId="10" xfId="0" applyFont="1" applyFill="1" applyBorder="1" applyAlignment="1">
      <alignment horizontal="center"/>
    </xf>
    <xf numFmtId="0" fontId="7" fillId="6" borderId="11" xfId="0" applyFont="1" applyFill="1" applyBorder="1" applyAlignment="1">
      <alignment horizontal="center"/>
    </xf>
    <xf numFmtId="0" fontId="7" fillId="6" borderId="12" xfId="0" applyFont="1" applyFill="1" applyBorder="1" applyAlignment="1">
      <alignment horizontal="center"/>
    </xf>
    <xf numFmtId="0" fontId="6" fillId="2" borderId="0" xfId="0" applyFont="1" applyFill="1" applyAlignment="1">
      <alignment horizontal="center" vertical="top" wrapText="1"/>
    </xf>
    <xf numFmtId="0" fontId="6" fillId="8" borderId="0" xfId="0" applyFont="1" applyFill="1" applyAlignment="1">
      <alignment horizontal="center" vertical="top" wrapText="1"/>
    </xf>
    <xf numFmtId="0" fontId="6" fillId="9" borderId="0" xfId="0" applyFont="1" applyFill="1" applyAlignment="1">
      <alignment horizontal="center" vertical="top" wrapText="1"/>
    </xf>
    <xf numFmtId="0" fontId="6" fillId="6" borderId="2" xfId="0" applyFont="1" applyFill="1" applyBorder="1" applyAlignment="1" applyProtection="1">
      <alignment horizontal="center" vertical="center" wrapText="1"/>
      <protection hidden="1"/>
    </xf>
    <xf numFmtId="0" fontId="6" fillId="6" borderId="1" xfId="0" applyFont="1" applyFill="1" applyBorder="1" applyAlignment="1" applyProtection="1">
      <alignment horizontal="center" vertical="center" wrapText="1"/>
      <protection hidden="1"/>
    </xf>
    <xf numFmtId="0" fontId="6" fillId="6" borderId="3" xfId="0" applyFont="1" applyFill="1" applyBorder="1" applyAlignment="1" applyProtection="1">
      <alignment horizontal="center" vertical="center" wrapText="1"/>
      <protection hidden="1"/>
    </xf>
    <xf numFmtId="0" fontId="6" fillId="6" borderId="7" xfId="0" applyFont="1" applyFill="1" applyBorder="1" applyAlignment="1" applyProtection="1">
      <alignment horizontal="center" vertical="center" wrapText="1"/>
      <protection hidden="1"/>
    </xf>
    <xf numFmtId="0" fontId="6" fillId="6" borderId="0" xfId="0" applyFont="1" applyFill="1" applyBorder="1" applyAlignment="1" applyProtection="1">
      <alignment horizontal="center" vertical="center" wrapText="1"/>
      <protection hidden="1"/>
    </xf>
    <xf numFmtId="0" fontId="6" fillId="6" borderId="8" xfId="0" applyFont="1" applyFill="1" applyBorder="1" applyAlignment="1" applyProtection="1">
      <alignment horizontal="center" vertical="center" wrapText="1"/>
      <protection hidden="1"/>
    </xf>
    <xf numFmtId="0" fontId="6" fillId="6" borderId="4" xfId="0" applyFont="1" applyFill="1" applyBorder="1" applyAlignment="1" applyProtection="1">
      <alignment horizontal="center" vertical="center" wrapText="1"/>
      <protection hidden="1"/>
    </xf>
    <xf numFmtId="0" fontId="6" fillId="6" borderId="5" xfId="0" applyFont="1" applyFill="1" applyBorder="1" applyAlignment="1" applyProtection="1">
      <alignment horizontal="center" vertical="center" wrapText="1"/>
      <protection hidden="1"/>
    </xf>
    <xf numFmtId="0" fontId="6" fillId="6" borderId="6" xfId="0" applyFont="1" applyFill="1" applyBorder="1" applyAlignment="1" applyProtection="1">
      <alignment horizontal="center" vertical="center" wrapText="1"/>
      <protection hidden="1"/>
    </xf>
    <xf numFmtId="0" fontId="7" fillId="0" borderId="1" xfId="0" applyFont="1" applyBorder="1" applyAlignment="1">
      <alignment horizontal="center" wrapText="1"/>
    </xf>
    <xf numFmtId="0" fontId="12" fillId="6" borderId="0" xfId="0" applyFont="1" applyFill="1" applyAlignment="1">
      <alignment horizontal="center"/>
    </xf>
    <xf numFmtId="0" fontId="6" fillId="6" borderId="2" xfId="0" applyFont="1" applyFill="1" applyBorder="1" applyAlignment="1" applyProtection="1">
      <alignment horizontal="center" wrapText="1"/>
      <protection hidden="1"/>
    </xf>
    <xf numFmtId="0" fontId="6" fillId="6" borderId="1" xfId="0" applyFont="1" applyFill="1" applyBorder="1" applyAlignment="1" applyProtection="1">
      <alignment horizontal="center" wrapText="1"/>
      <protection hidden="1"/>
    </xf>
    <xf numFmtId="0" fontId="6" fillId="6" borderId="3" xfId="0" applyFont="1" applyFill="1" applyBorder="1" applyAlignment="1" applyProtection="1">
      <alignment horizontal="center" wrapText="1"/>
      <protection hidden="1"/>
    </xf>
    <xf numFmtId="0" fontId="6" fillId="6" borderId="4" xfId="0" applyFont="1" applyFill="1" applyBorder="1" applyAlignment="1" applyProtection="1">
      <alignment horizontal="center" wrapText="1"/>
      <protection hidden="1"/>
    </xf>
    <xf numFmtId="0" fontId="6" fillId="6" borderId="5" xfId="0" applyFont="1" applyFill="1" applyBorder="1" applyAlignment="1" applyProtection="1">
      <alignment horizontal="center" wrapText="1"/>
      <protection hidden="1"/>
    </xf>
    <xf numFmtId="0" fontId="6" fillId="6" borderId="6" xfId="0" applyFont="1" applyFill="1" applyBorder="1" applyAlignment="1" applyProtection="1">
      <alignment horizontal="center" wrapText="1"/>
      <protection hidden="1"/>
    </xf>
    <xf numFmtId="0" fontId="10" fillId="6" borderId="11" xfId="0" applyFont="1" applyFill="1" applyBorder="1" applyAlignment="1" applyProtection="1">
      <alignment horizontal="center" wrapText="1"/>
      <protection hidden="1"/>
    </xf>
    <xf numFmtId="0" fontId="8" fillId="6" borderId="5" xfId="0" applyFont="1" applyFill="1" applyBorder="1" applyAlignment="1" applyProtection="1">
      <alignment horizontal="center" wrapText="1"/>
      <protection hidden="1"/>
    </xf>
    <xf numFmtId="0" fontId="8" fillId="6" borderId="2" xfId="0" applyFont="1" applyFill="1" applyBorder="1" applyAlignment="1" applyProtection="1">
      <alignment horizontal="center" wrapText="1"/>
      <protection hidden="1"/>
    </xf>
    <xf numFmtId="0" fontId="8" fillId="6" borderId="1" xfId="0" applyFont="1" applyFill="1" applyBorder="1" applyAlignment="1" applyProtection="1">
      <alignment horizontal="center" wrapText="1"/>
      <protection hidden="1"/>
    </xf>
    <xf numFmtId="0" fontId="8" fillId="6" borderId="3" xfId="0" applyFont="1" applyFill="1" applyBorder="1" applyAlignment="1" applyProtection="1">
      <alignment horizontal="center" wrapText="1"/>
      <protection hidden="1"/>
    </xf>
    <xf numFmtId="0" fontId="8" fillId="6" borderId="4" xfId="0" applyFont="1" applyFill="1" applyBorder="1" applyAlignment="1" applyProtection="1">
      <alignment horizontal="center" wrapText="1"/>
      <protection hidden="1"/>
    </xf>
    <xf numFmtId="0" fontId="8" fillId="6" borderId="6" xfId="0" applyFont="1" applyFill="1" applyBorder="1" applyAlignment="1" applyProtection="1">
      <alignment horizontal="center" wrapText="1"/>
      <protection hidden="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0</xdr:row>
      <xdr:rowOff>146685</xdr:rowOff>
    </xdr:from>
    <xdr:to>
      <xdr:col>4</xdr:col>
      <xdr:colOff>32385</xdr:colOff>
      <xdr:row>10</xdr:row>
      <xdr:rowOff>39284</xdr:rowOff>
    </xdr:to>
    <xdr:pic>
      <xdr:nvPicPr>
        <xdr:cNvPr id="2" name="Afbeelding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2925" y="146685"/>
          <a:ext cx="1823085" cy="186427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instagram.com/kinderopvangwijzer/" TargetMode="External"/><Relationship Id="rId2" Type="http://schemas.openxmlformats.org/officeDocument/2006/relationships/hyperlink" Target="https://www.kinderopvanggratis.nl/" TargetMode="External"/><Relationship Id="rId1" Type="http://schemas.openxmlformats.org/officeDocument/2006/relationships/hyperlink" Target="https://www.kinderopvang-wijzer.nl/" TargetMode="External"/><Relationship Id="rId6" Type="http://schemas.openxmlformats.org/officeDocument/2006/relationships/hyperlink" Target="https://www.kinderopvang-wijzer.nl/" TargetMode="External"/><Relationship Id="rId5" Type="http://schemas.openxmlformats.org/officeDocument/2006/relationships/hyperlink" Target="https://www.kinderopvang-wijzer.nl/" TargetMode="External"/><Relationship Id="rId4" Type="http://schemas.openxmlformats.org/officeDocument/2006/relationships/hyperlink" Target="https://www.facebook.com/kinderopvangwijze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nstagram.com/kinderopvangwijzer/" TargetMode="External"/><Relationship Id="rId2" Type="http://schemas.openxmlformats.org/officeDocument/2006/relationships/hyperlink" Target="https://www.kinderopvanggratis.nl/" TargetMode="External"/><Relationship Id="rId1" Type="http://schemas.openxmlformats.org/officeDocument/2006/relationships/hyperlink" Target="https://www.kinderopvang-wijzer.nl/" TargetMode="External"/><Relationship Id="rId6" Type="http://schemas.openxmlformats.org/officeDocument/2006/relationships/hyperlink" Target="https://www.kinderopvang-wijzer.nl/" TargetMode="External"/><Relationship Id="rId5" Type="http://schemas.openxmlformats.org/officeDocument/2006/relationships/hyperlink" Target="https://www.kinderopvang-wijzer.nl/" TargetMode="External"/><Relationship Id="rId4" Type="http://schemas.openxmlformats.org/officeDocument/2006/relationships/hyperlink" Target="https://www.facebook.com/kinderopvangwijz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instagram.com/kinderopvangwijzer/" TargetMode="External"/><Relationship Id="rId7" Type="http://schemas.openxmlformats.org/officeDocument/2006/relationships/printerSettings" Target="../printerSettings/printerSettings3.bin"/><Relationship Id="rId2" Type="http://schemas.openxmlformats.org/officeDocument/2006/relationships/hyperlink" Target="https://www.kinderopvanggratis.nl/" TargetMode="External"/><Relationship Id="rId1" Type="http://schemas.openxmlformats.org/officeDocument/2006/relationships/hyperlink" Target="https://www.kinderopvang-wijzer.nl/" TargetMode="External"/><Relationship Id="rId6" Type="http://schemas.openxmlformats.org/officeDocument/2006/relationships/hyperlink" Target="https://www.kinderopvang-wijzer.nl/" TargetMode="External"/><Relationship Id="rId5" Type="http://schemas.openxmlformats.org/officeDocument/2006/relationships/hyperlink" Target="https://www.kinderopvang-wijzer.nl/" TargetMode="External"/><Relationship Id="rId4" Type="http://schemas.openxmlformats.org/officeDocument/2006/relationships/hyperlink" Target="https://www.facebook.com/kinderopvangwijzer"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instagram.com/kinderopvangwijzer/" TargetMode="External"/><Relationship Id="rId2" Type="http://schemas.openxmlformats.org/officeDocument/2006/relationships/hyperlink" Target="https://www.kinderopvanggratis.nl/" TargetMode="External"/><Relationship Id="rId1" Type="http://schemas.openxmlformats.org/officeDocument/2006/relationships/hyperlink" Target="https://www.kinderopvang-wijzer.nl/" TargetMode="External"/><Relationship Id="rId6" Type="http://schemas.openxmlformats.org/officeDocument/2006/relationships/hyperlink" Target="https://www.kinderopvang-wijzer.nl/" TargetMode="External"/><Relationship Id="rId5" Type="http://schemas.openxmlformats.org/officeDocument/2006/relationships/hyperlink" Target="https://www.kinderopvang-wijzer.nl/" TargetMode="External"/><Relationship Id="rId4" Type="http://schemas.openxmlformats.org/officeDocument/2006/relationships/hyperlink" Target="https://www.facebook.com/kinderopvangwijzer"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instagram.com/kinderopvangwijzer/" TargetMode="External"/><Relationship Id="rId2" Type="http://schemas.openxmlformats.org/officeDocument/2006/relationships/hyperlink" Target="https://www.kinderopvanggratis.nl/" TargetMode="External"/><Relationship Id="rId1" Type="http://schemas.openxmlformats.org/officeDocument/2006/relationships/hyperlink" Target="https://www.kinderopvang-wijzer.nl/" TargetMode="External"/><Relationship Id="rId6" Type="http://schemas.openxmlformats.org/officeDocument/2006/relationships/hyperlink" Target="https://www.kinderopvang-wijzer.nl/" TargetMode="External"/><Relationship Id="rId5" Type="http://schemas.openxmlformats.org/officeDocument/2006/relationships/hyperlink" Target="https://www.kinderopvang-wijzer.nl/" TargetMode="External"/><Relationship Id="rId4" Type="http://schemas.openxmlformats.org/officeDocument/2006/relationships/hyperlink" Target="https://www.facebook.com/kinderopvangwijz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9"/>
  <sheetViews>
    <sheetView tabSelected="1" zoomScaleNormal="100" workbookViewId="0">
      <selection activeCell="B25" sqref="B25"/>
    </sheetView>
  </sheetViews>
  <sheetFormatPr defaultColWidth="0" defaultRowHeight="15.75" zeroHeight="1" x14ac:dyDescent="0.25"/>
  <cols>
    <col min="1" max="1" width="8.85546875" style="210" customWidth="1"/>
    <col min="2" max="2" width="54" style="210" customWidth="1"/>
    <col min="3" max="3" width="15.28515625" style="210" customWidth="1"/>
    <col min="4" max="7" width="15.7109375" style="210" customWidth="1"/>
    <col min="8" max="8" width="12.7109375" style="212" customWidth="1"/>
    <col min="9" max="9" width="5.85546875" style="210" customWidth="1"/>
    <col min="10" max="16384" width="8.85546875" style="210" hidden="1"/>
  </cols>
  <sheetData>
    <row r="1" spans="2:8" s="205" customFormat="1" ht="17.45" customHeight="1" x14ac:dyDescent="0.25">
      <c r="B1" s="271"/>
      <c r="C1" s="271"/>
      <c r="D1" s="271"/>
      <c r="E1" s="271"/>
      <c r="F1" s="271"/>
      <c r="G1" s="271"/>
      <c r="H1" s="271"/>
    </row>
    <row r="2" spans="2:8" s="205" customFormat="1" ht="17.45" customHeight="1" x14ac:dyDescent="0.25">
      <c r="B2" s="271"/>
      <c r="C2" s="271"/>
      <c r="D2" s="271"/>
      <c r="E2" s="271"/>
      <c r="F2" s="271"/>
      <c r="G2" s="271"/>
      <c r="H2" s="271"/>
    </row>
    <row r="3" spans="2:8" s="205" customFormat="1" ht="14.45" customHeight="1" x14ac:dyDescent="0.25">
      <c r="B3" s="271"/>
      <c r="C3" s="271"/>
      <c r="D3" s="271"/>
      <c r="E3" s="271"/>
      <c r="F3" s="271"/>
      <c r="G3" s="271"/>
      <c r="H3" s="271"/>
    </row>
    <row r="4" spans="2:8" s="205" customFormat="1" ht="14.45" customHeight="1" x14ac:dyDescent="0.25">
      <c r="B4" s="271"/>
      <c r="C4" s="271"/>
      <c r="D4" s="271"/>
      <c r="E4" s="271"/>
      <c r="F4" s="271"/>
      <c r="G4" s="271"/>
      <c r="H4" s="271"/>
    </row>
    <row r="5" spans="2:8" s="205" customFormat="1" x14ac:dyDescent="0.25">
      <c r="B5" s="271"/>
      <c r="C5" s="271"/>
      <c r="D5" s="271"/>
      <c r="E5" s="271"/>
      <c r="F5" s="271"/>
      <c r="G5" s="271"/>
      <c r="H5" s="271"/>
    </row>
    <row r="6" spans="2:8" s="205" customFormat="1" ht="13.9" customHeight="1" x14ac:dyDescent="0.25">
      <c r="B6" s="271"/>
      <c r="C6" s="271"/>
      <c r="D6" s="271"/>
      <c r="E6" s="271"/>
      <c r="F6" s="271"/>
      <c r="G6" s="271"/>
      <c r="H6" s="271"/>
    </row>
    <row r="7" spans="2:8" s="205" customFormat="1" x14ac:dyDescent="0.25">
      <c r="B7" s="206"/>
      <c r="C7" s="206"/>
      <c r="D7" s="206"/>
      <c r="E7" s="206"/>
      <c r="F7" s="206"/>
      <c r="G7" s="206"/>
      <c r="H7" s="206"/>
    </row>
    <row r="8" spans="2:8" s="205" customFormat="1" x14ac:dyDescent="0.25">
      <c r="B8" s="206"/>
      <c r="C8" s="206"/>
      <c r="D8" s="206"/>
      <c r="E8" s="206"/>
      <c r="F8" s="206"/>
      <c r="G8" s="206"/>
      <c r="H8" s="206"/>
    </row>
    <row r="9" spans="2:8" s="205" customFormat="1" x14ac:dyDescent="0.25">
      <c r="B9" s="206"/>
      <c r="C9" s="206"/>
      <c r="D9" s="206"/>
      <c r="E9" s="206"/>
      <c r="F9" s="206"/>
      <c r="G9" s="206"/>
      <c r="H9" s="206"/>
    </row>
    <row r="10" spans="2:8" s="205" customFormat="1" x14ac:dyDescent="0.25">
      <c r="B10" s="207"/>
      <c r="C10" s="207"/>
      <c r="D10" s="207"/>
      <c r="E10" s="207"/>
      <c r="F10" s="207"/>
      <c r="G10" s="207"/>
      <c r="H10" s="207"/>
    </row>
    <row r="11" spans="2:8" s="205" customFormat="1" ht="5.25" customHeight="1" x14ac:dyDescent="0.25">
      <c r="B11" s="208"/>
      <c r="C11" s="208"/>
      <c r="D11" s="208"/>
      <c r="E11" s="208"/>
      <c r="F11" s="208"/>
      <c r="G11" s="208"/>
      <c r="H11" s="208"/>
    </row>
    <row r="12" spans="2:8" s="205" customFormat="1" ht="13.5" hidden="1" customHeight="1" x14ac:dyDescent="0.25">
      <c r="C12" s="206"/>
      <c r="D12" s="206"/>
      <c r="E12" s="206"/>
      <c r="F12" s="206"/>
      <c r="G12" s="206"/>
      <c r="H12" s="209"/>
    </row>
    <row r="13" spans="2:8" s="205" customFormat="1" ht="13.9" customHeight="1" x14ac:dyDescent="0.25">
      <c r="B13" s="273" t="s">
        <v>141</v>
      </c>
      <c r="C13" s="273"/>
      <c r="D13" s="273"/>
      <c r="E13" s="273"/>
      <c r="F13" s="273"/>
      <c r="G13" s="273"/>
      <c r="H13" s="273"/>
    </row>
    <row r="14" spans="2:8" s="205" customFormat="1" ht="13.9" customHeight="1" x14ac:dyDescent="0.25">
      <c r="B14" s="273"/>
      <c r="C14" s="273"/>
      <c r="D14" s="273"/>
      <c r="E14" s="273"/>
      <c r="F14" s="273"/>
      <c r="G14" s="273"/>
      <c r="H14" s="273"/>
    </row>
    <row r="15" spans="2:8" s="205" customFormat="1" ht="24.75" customHeight="1" x14ac:dyDescent="0.25">
      <c r="B15" s="273"/>
      <c r="C15" s="273"/>
      <c r="D15" s="273"/>
      <c r="E15" s="273"/>
      <c r="F15" s="273"/>
      <c r="G15" s="273"/>
      <c r="H15" s="273"/>
    </row>
    <row r="16" spans="2:8" s="205" customFormat="1" ht="13.9" customHeight="1" x14ac:dyDescent="0.25">
      <c r="B16" s="208"/>
      <c r="C16" s="208"/>
      <c r="D16" s="208"/>
      <c r="E16" s="208"/>
      <c r="F16" s="208"/>
      <c r="G16" s="208"/>
      <c r="H16" s="208"/>
    </row>
    <row r="17" spans="2:9" x14ac:dyDescent="0.25">
      <c r="B17" s="272" t="s">
        <v>107</v>
      </c>
      <c r="C17" s="272"/>
      <c r="D17" s="272"/>
      <c r="E17" s="272"/>
      <c r="F17" s="272"/>
      <c r="G17" s="272"/>
      <c r="H17" s="272"/>
    </row>
    <row r="18" spans="2:9" x14ac:dyDescent="0.25">
      <c r="B18" s="211"/>
      <c r="C18" s="211"/>
      <c r="D18" s="211"/>
      <c r="E18" s="211"/>
    </row>
    <row r="19" spans="2:9" hidden="1" x14ac:dyDescent="0.25"/>
    <row r="20" spans="2:9" x14ac:dyDescent="0.25">
      <c r="B20" s="213" t="s">
        <v>105</v>
      </c>
      <c r="F20" s="262" t="s">
        <v>111</v>
      </c>
      <c r="G20" s="263"/>
      <c r="H20" s="264"/>
    </row>
    <row r="21" spans="2:9" ht="13.9" customHeight="1" x14ac:dyDescent="0.25">
      <c r="B21" s="214" t="s">
        <v>148</v>
      </c>
      <c r="C21" s="215"/>
      <c r="D21" s="242">
        <v>32500</v>
      </c>
      <c r="E21" s="216"/>
      <c r="F21" s="259" t="s">
        <v>104</v>
      </c>
      <c r="G21" s="259"/>
      <c r="H21" s="259"/>
    </row>
    <row r="22" spans="2:9" x14ac:dyDescent="0.25">
      <c r="B22" s="217" t="s">
        <v>149</v>
      </c>
      <c r="C22" s="218"/>
      <c r="D22" s="243">
        <v>31500</v>
      </c>
      <c r="E22" s="216"/>
      <c r="F22" s="259"/>
      <c r="G22" s="259"/>
      <c r="H22" s="259"/>
    </row>
    <row r="23" spans="2:9" x14ac:dyDescent="0.25">
      <c r="F23" s="259"/>
      <c r="G23" s="259"/>
      <c r="H23" s="259"/>
    </row>
    <row r="24" spans="2:9" x14ac:dyDescent="0.25"/>
    <row r="25" spans="2:9" x14ac:dyDescent="0.25">
      <c r="B25" s="213" t="s">
        <v>106</v>
      </c>
      <c r="D25" s="219" t="s">
        <v>84</v>
      </c>
    </row>
    <row r="26" spans="2:9" ht="13.9" customHeight="1" x14ac:dyDescent="0.25">
      <c r="B26" s="244" t="s">
        <v>22</v>
      </c>
      <c r="C26" s="215" t="s">
        <v>3</v>
      </c>
      <c r="D26" s="247">
        <v>100</v>
      </c>
      <c r="F26" s="275" t="s">
        <v>114</v>
      </c>
      <c r="G26" s="275"/>
      <c r="H26" s="275"/>
      <c r="I26" s="220"/>
    </row>
    <row r="27" spans="2:9" x14ac:dyDescent="0.25">
      <c r="B27" s="245"/>
      <c r="C27" s="205" t="s">
        <v>4</v>
      </c>
      <c r="D27" s="248"/>
      <c r="F27" s="275"/>
      <c r="G27" s="275"/>
      <c r="H27" s="275"/>
      <c r="I27" s="220"/>
    </row>
    <row r="28" spans="2:9" x14ac:dyDescent="0.25">
      <c r="B28" s="245"/>
      <c r="C28" s="205" t="s">
        <v>5</v>
      </c>
      <c r="D28" s="248"/>
      <c r="F28" s="275"/>
      <c r="G28" s="275"/>
      <c r="H28" s="275"/>
      <c r="I28" s="220"/>
    </row>
    <row r="29" spans="2:9" x14ac:dyDescent="0.25">
      <c r="B29" s="246"/>
      <c r="C29" s="218" t="s">
        <v>6</v>
      </c>
      <c r="D29" s="249"/>
      <c r="F29" s="275"/>
      <c r="G29" s="275"/>
      <c r="H29" s="275"/>
      <c r="I29" s="220"/>
    </row>
    <row r="30" spans="2:9" x14ac:dyDescent="0.25">
      <c r="F30" s="275"/>
      <c r="G30" s="275"/>
      <c r="H30" s="275"/>
    </row>
    <row r="31" spans="2:9" x14ac:dyDescent="0.25"/>
    <row r="32" spans="2:9" x14ac:dyDescent="0.25">
      <c r="B32" s="262" t="s">
        <v>95</v>
      </c>
      <c r="C32" s="263"/>
      <c r="D32" s="263"/>
      <c r="E32" s="263"/>
      <c r="F32" s="263"/>
      <c r="G32" s="263"/>
      <c r="H32" s="264"/>
    </row>
    <row r="33" spans="2:9" x14ac:dyDescent="0.25"/>
    <row r="34" spans="2:9" x14ac:dyDescent="0.25">
      <c r="B34" s="265" t="s">
        <v>98</v>
      </c>
      <c r="C34" s="266"/>
      <c r="D34" s="266"/>
      <c r="E34" s="266"/>
      <c r="F34" s="266"/>
      <c r="G34" s="266"/>
      <c r="H34" s="267"/>
    </row>
    <row r="35" spans="2:9" ht="45" customHeight="1" x14ac:dyDescent="0.25">
      <c r="B35" s="259" t="s">
        <v>112</v>
      </c>
      <c r="C35" s="259"/>
      <c r="D35" s="259"/>
      <c r="E35" s="259"/>
      <c r="F35" s="259"/>
      <c r="G35" s="259"/>
      <c r="H35" s="259"/>
    </row>
    <row r="36" spans="2:9" ht="15" customHeight="1" x14ac:dyDescent="0.25">
      <c r="B36" s="259"/>
      <c r="C36" s="259"/>
      <c r="D36" s="259"/>
      <c r="E36" s="259"/>
      <c r="F36" s="259"/>
      <c r="G36" s="259"/>
      <c r="H36" s="259"/>
    </row>
    <row r="37" spans="2:9" x14ac:dyDescent="0.25">
      <c r="B37" s="221"/>
      <c r="C37" s="221"/>
      <c r="D37" s="221"/>
    </row>
    <row r="38" spans="2:9" x14ac:dyDescent="0.25">
      <c r="C38" s="219" t="s">
        <v>96</v>
      </c>
      <c r="D38" s="219" t="s">
        <v>97</v>
      </c>
      <c r="F38" s="262" t="s">
        <v>111</v>
      </c>
      <c r="G38" s="263"/>
      <c r="H38" s="264"/>
    </row>
    <row r="39" spans="2:9" ht="13.9" customHeight="1" x14ac:dyDescent="0.25">
      <c r="B39" s="210" t="s">
        <v>147</v>
      </c>
      <c r="C39" s="222">
        <f>+Berekening2026!D35</f>
        <v>96</v>
      </c>
      <c r="D39" s="240">
        <f>IF(Berekening2026!E35&gt;0,Berekening2026!E35,0)</f>
        <v>0</v>
      </c>
      <c r="F39" s="276" t="s">
        <v>150</v>
      </c>
      <c r="G39" s="276"/>
      <c r="H39" s="276"/>
      <c r="I39" s="220"/>
    </row>
    <row r="40" spans="2:9" x14ac:dyDescent="0.25">
      <c r="B40" s="210" t="s">
        <v>146</v>
      </c>
      <c r="C40" s="223">
        <f>+Berekening2025!D35</f>
        <v>96</v>
      </c>
      <c r="D40" s="241">
        <f>IF(Berekening2025!E35&gt;0,Berekening2025!E35,0)</f>
        <v>0</v>
      </c>
      <c r="F40" s="275"/>
      <c r="G40" s="275"/>
      <c r="H40" s="275"/>
      <c r="I40" s="220"/>
    </row>
    <row r="41" spans="2:9" x14ac:dyDescent="0.25">
      <c r="B41" s="210" t="s">
        <v>99</v>
      </c>
      <c r="C41" s="222">
        <f>C39-C40</f>
        <v>0</v>
      </c>
      <c r="D41" s="240">
        <f>D39-D40</f>
        <v>0</v>
      </c>
      <c r="F41" s="275"/>
      <c r="G41" s="275"/>
      <c r="H41" s="275"/>
      <c r="I41" s="220"/>
    </row>
    <row r="42" spans="2:9" x14ac:dyDescent="0.25">
      <c r="C42" s="222"/>
      <c r="D42" s="240"/>
      <c r="F42" s="275"/>
      <c r="G42" s="275"/>
      <c r="H42" s="275"/>
    </row>
    <row r="43" spans="2:9" x14ac:dyDescent="0.25">
      <c r="B43" s="210" t="s">
        <v>136</v>
      </c>
      <c r="D43" s="240">
        <f>(D21/D22-1)*100</f>
        <v>3.1746031746031855</v>
      </c>
      <c r="F43" s="275"/>
      <c r="G43" s="275"/>
      <c r="H43" s="275"/>
    </row>
    <row r="44" spans="2:9" x14ac:dyDescent="0.25">
      <c r="B44" s="274" t="str">
        <f>IF(D43&lt;-10,"Het inkomen is met meer dan 10 % gedaald, de netto kosten zijn dan niet goed vergelijkbaar"," ")</f>
        <v xml:space="preserve"> </v>
      </c>
      <c r="C44" s="274"/>
      <c r="D44" s="274"/>
      <c r="F44" s="275"/>
      <c r="G44" s="275"/>
      <c r="H44" s="275"/>
    </row>
    <row r="45" spans="2:9" x14ac:dyDescent="0.25">
      <c r="B45" s="270" t="str">
        <f>IF(D43&gt;10,"Het inkomen is met meer dan 10 % gestegen, de netto kosten zijn dan mogelijk niet goed vergelijkbaar"," ")</f>
        <v xml:space="preserve"> </v>
      </c>
      <c r="C45" s="270"/>
      <c r="D45" s="270"/>
      <c r="E45" s="270"/>
      <c r="F45" s="270"/>
    </row>
    <row r="46" spans="2:9" x14ac:dyDescent="0.25">
      <c r="B46" s="265" t="s">
        <v>101</v>
      </c>
      <c r="C46" s="266"/>
      <c r="D46" s="266"/>
      <c r="E46" s="266"/>
      <c r="F46" s="266"/>
      <c r="G46" s="266"/>
      <c r="H46" s="267"/>
    </row>
    <row r="47" spans="2:9" ht="15" customHeight="1" x14ac:dyDescent="0.25">
      <c r="B47" s="260" t="s">
        <v>102</v>
      </c>
      <c r="C47" s="260"/>
      <c r="D47" s="260"/>
      <c r="E47" s="260"/>
      <c r="F47" s="260"/>
      <c r="G47" s="260"/>
      <c r="H47" s="260"/>
    </row>
    <row r="48" spans="2:9" x14ac:dyDescent="0.25">
      <c r="B48" s="258"/>
      <c r="C48" s="258"/>
      <c r="D48" s="258"/>
      <c r="E48" s="258"/>
      <c r="F48" s="258"/>
      <c r="G48" s="258"/>
      <c r="H48" s="258"/>
    </row>
    <row r="49" spans="2:8" x14ac:dyDescent="0.25">
      <c r="B49" s="221"/>
      <c r="C49" s="221"/>
      <c r="D49" s="221"/>
    </row>
    <row r="50" spans="2:8" x14ac:dyDescent="0.25">
      <c r="C50" s="224"/>
      <c r="D50" s="224"/>
    </row>
    <row r="51" spans="2:8" x14ac:dyDescent="0.25">
      <c r="B51" s="225" t="s">
        <v>100</v>
      </c>
      <c r="C51" s="226" t="s">
        <v>88</v>
      </c>
      <c r="F51" s="262" t="s">
        <v>111</v>
      </c>
      <c r="G51" s="263"/>
      <c r="H51" s="264"/>
    </row>
    <row r="52" spans="2:8" x14ac:dyDescent="0.25">
      <c r="B52" s="210" t="s">
        <v>137</v>
      </c>
      <c r="C52" s="228">
        <f>+C74</f>
        <v>44.720000000000027</v>
      </c>
      <c r="F52" s="259" t="s">
        <v>108</v>
      </c>
      <c r="G52" s="259"/>
      <c r="H52" s="259"/>
    </row>
    <row r="53" spans="2:8" x14ac:dyDescent="0.25">
      <c r="B53" s="210" t="s">
        <v>145</v>
      </c>
      <c r="C53" s="229">
        <f>+C86</f>
        <v>42.480000000000018</v>
      </c>
      <c r="F53" s="259"/>
      <c r="G53" s="259"/>
      <c r="H53" s="259"/>
    </row>
    <row r="54" spans="2:8" x14ac:dyDescent="0.25">
      <c r="B54" s="210" t="s">
        <v>138</v>
      </c>
      <c r="C54" s="230">
        <f>C53-C52</f>
        <v>-2.2400000000000091</v>
      </c>
    </row>
    <row r="55" spans="2:8" x14ac:dyDescent="0.25">
      <c r="C55" s="231"/>
      <c r="D55" s="231"/>
      <c r="E55" s="212"/>
    </row>
    <row r="56" spans="2:8" x14ac:dyDescent="0.25">
      <c r="B56" s="268" t="str">
        <f>IF(C$54&gt;0,"In 2026 zijn de netto kosten per maand lager dan in 2025"," ")</f>
        <v xml:space="preserve"> </v>
      </c>
      <c r="C56" s="268"/>
      <c r="D56" s="268"/>
      <c r="E56" s="268"/>
      <c r="F56" s="268"/>
    </row>
    <row r="57" spans="2:8" x14ac:dyDescent="0.25">
      <c r="B57" s="269"/>
      <c r="C57" s="269"/>
      <c r="D57" s="269"/>
      <c r="E57" s="269"/>
      <c r="F57" s="269"/>
    </row>
    <row r="58" spans="2:8" x14ac:dyDescent="0.25">
      <c r="B58" s="225" t="s">
        <v>109</v>
      </c>
      <c r="C58" s="227" t="s">
        <v>88</v>
      </c>
    </row>
    <row r="59" spans="2:8" x14ac:dyDescent="0.25">
      <c r="B59" s="232" t="s">
        <v>139</v>
      </c>
      <c r="C59" s="256">
        <f>(C52*12)/$D21</f>
        <v>1.6512000000000009E-2</v>
      </c>
    </row>
    <row r="60" spans="2:8" x14ac:dyDescent="0.25">
      <c r="B60" s="217" t="s">
        <v>144</v>
      </c>
      <c r="C60" s="257">
        <f>(C53*12)/$D22</f>
        <v>1.6182857142857148E-2</v>
      </c>
    </row>
    <row r="61" spans="2:8" x14ac:dyDescent="0.25">
      <c r="C61" s="224"/>
      <c r="D61" s="224"/>
    </row>
    <row r="62" spans="2:8" x14ac:dyDescent="0.25">
      <c r="B62" s="268" t="str">
        <f>IF(C59&lt;C60,"Het aandeel van de kinderopvangkosten in het jaarinkomen is in 2026 gedaald ten opzichte van 2025."," ")</f>
        <v xml:space="preserve"> </v>
      </c>
      <c r="C62" s="268"/>
      <c r="D62" s="268"/>
      <c r="E62" s="268"/>
      <c r="F62" s="268"/>
    </row>
    <row r="63" spans="2:8" x14ac:dyDescent="0.25">
      <c r="B63" s="235"/>
      <c r="C63" s="235"/>
      <c r="D63" s="235"/>
      <c r="E63" s="235"/>
      <c r="F63" s="235"/>
    </row>
    <row r="64" spans="2:8" x14ac:dyDescent="0.25"/>
    <row r="65" spans="2:8" x14ac:dyDescent="0.25">
      <c r="B65" s="225" t="s">
        <v>140</v>
      </c>
      <c r="C65" s="227" t="s">
        <v>88</v>
      </c>
      <c r="F65" s="262" t="s">
        <v>111</v>
      </c>
      <c r="G65" s="263"/>
      <c r="H65" s="264"/>
    </row>
    <row r="66" spans="2:8" x14ac:dyDescent="0.25">
      <c r="B66" s="232" t="s">
        <v>89</v>
      </c>
      <c r="C66" s="236">
        <f>+Berekening2026!H61</f>
        <v>1118</v>
      </c>
      <c r="G66" s="212"/>
      <c r="H66" s="210"/>
    </row>
    <row r="67" spans="2:8" x14ac:dyDescent="0.25">
      <c r="B67" s="232" t="s">
        <v>90</v>
      </c>
      <c r="C67" s="237">
        <f>+Berekening2026!H62</f>
        <v>1073.28</v>
      </c>
      <c r="G67" s="212"/>
      <c r="H67" s="210"/>
    </row>
    <row r="68" spans="2:8" x14ac:dyDescent="0.25">
      <c r="B68" s="233" t="s">
        <v>91</v>
      </c>
      <c r="C68" s="238">
        <f>+Berekening2026!H63</f>
        <v>44.720000000000027</v>
      </c>
      <c r="G68" s="212"/>
      <c r="H68" s="210"/>
    </row>
    <row r="69" spans="2:8" x14ac:dyDescent="0.25">
      <c r="B69" s="232"/>
      <c r="C69" s="236"/>
      <c r="G69" s="212"/>
      <c r="H69" s="210"/>
    </row>
    <row r="70" spans="2:8" x14ac:dyDescent="0.25">
      <c r="B70" s="233" t="s">
        <v>92</v>
      </c>
      <c r="C70" s="236"/>
      <c r="E70" s="205"/>
      <c r="F70" s="258" t="s">
        <v>113</v>
      </c>
      <c r="G70" s="259"/>
      <c r="H70" s="259"/>
    </row>
    <row r="71" spans="2:8" x14ac:dyDescent="0.25">
      <c r="B71" s="232" t="s">
        <v>93</v>
      </c>
      <c r="C71" s="236">
        <f>+Berekening2026!H66</f>
        <v>0</v>
      </c>
      <c r="E71" s="205"/>
      <c r="F71" s="258"/>
      <c r="G71" s="259"/>
      <c r="H71" s="259"/>
    </row>
    <row r="72" spans="2:8" ht="15.75" hidden="1" customHeight="1" x14ac:dyDescent="0.25">
      <c r="B72" s="232" t="s">
        <v>94</v>
      </c>
      <c r="C72" s="236">
        <f>+Berekening2025!H67</f>
        <v>0</v>
      </c>
      <c r="E72" s="205"/>
      <c r="F72" s="258"/>
      <c r="G72" s="259"/>
      <c r="H72" s="259"/>
    </row>
    <row r="73" spans="2:8" x14ac:dyDescent="0.25">
      <c r="B73" s="232" t="s">
        <v>39</v>
      </c>
      <c r="C73" s="237">
        <f>+Berekening2026!H68</f>
        <v>44.720000000000027</v>
      </c>
      <c r="E73" s="205"/>
      <c r="F73" s="258"/>
      <c r="G73" s="259"/>
      <c r="H73" s="259"/>
    </row>
    <row r="74" spans="2:8" x14ac:dyDescent="0.25">
      <c r="B74" s="234" t="s">
        <v>91</v>
      </c>
      <c r="C74" s="239">
        <f>+Berekening2026!H69</f>
        <v>44.720000000000027</v>
      </c>
      <c r="E74" s="205"/>
      <c r="F74" s="258"/>
      <c r="G74" s="259"/>
      <c r="H74" s="259"/>
    </row>
    <row r="75" spans="2:8" x14ac:dyDescent="0.25">
      <c r="G75" s="212"/>
      <c r="H75" s="210"/>
    </row>
    <row r="76" spans="2:8" x14ac:dyDescent="0.25">
      <c r="G76" s="212"/>
      <c r="H76" s="210"/>
    </row>
    <row r="77" spans="2:8" x14ac:dyDescent="0.25">
      <c r="B77" s="225" t="s">
        <v>135</v>
      </c>
      <c r="C77" s="227" t="s">
        <v>88</v>
      </c>
      <c r="G77" s="212"/>
      <c r="H77" s="210"/>
    </row>
    <row r="78" spans="2:8" x14ac:dyDescent="0.25">
      <c r="B78" s="232" t="s">
        <v>89</v>
      </c>
      <c r="C78" s="236">
        <f>+Berekening2025!H61</f>
        <v>1062</v>
      </c>
      <c r="G78" s="212"/>
      <c r="H78" s="210"/>
    </row>
    <row r="79" spans="2:8" x14ac:dyDescent="0.25">
      <c r="B79" s="232" t="s">
        <v>90</v>
      </c>
      <c r="C79" s="237">
        <f>+Berekening2025!H62</f>
        <v>1019.52</v>
      </c>
      <c r="G79" s="212"/>
      <c r="H79" s="210"/>
    </row>
    <row r="80" spans="2:8" x14ac:dyDescent="0.25">
      <c r="B80" s="233" t="s">
        <v>91</v>
      </c>
      <c r="C80" s="238">
        <f>+Berekening2025!H63</f>
        <v>42.480000000000018</v>
      </c>
      <c r="G80" s="212"/>
      <c r="H80" s="210"/>
    </row>
    <row r="81" spans="2:8" x14ac:dyDescent="0.25">
      <c r="B81" s="232"/>
      <c r="C81" s="236"/>
      <c r="G81" s="212"/>
      <c r="H81" s="210"/>
    </row>
    <row r="82" spans="2:8" x14ac:dyDescent="0.25">
      <c r="B82" s="233" t="s">
        <v>92</v>
      </c>
      <c r="C82" s="236"/>
      <c r="G82" s="212"/>
      <c r="H82" s="210"/>
    </row>
    <row r="83" spans="2:8" x14ac:dyDescent="0.25">
      <c r="B83" s="232" t="s">
        <v>93</v>
      </c>
      <c r="C83" s="236">
        <f>+Berekening2025!H66</f>
        <v>0</v>
      </c>
      <c r="G83" s="212"/>
      <c r="H83" s="210"/>
    </row>
    <row r="84" spans="2:8" hidden="1" x14ac:dyDescent="0.25">
      <c r="B84" s="232" t="s">
        <v>94</v>
      </c>
      <c r="C84" s="236">
        <f>+Berekening2025!H67</f>
        <v>0</v>
      </c>
      <c r="G84" s="212"/>
      <c r="H84" s="210"/>
    </row>
    <row r="85" spans="2:8" x14ac:dyDescent="0.25">
      <c r="B85" s="232" t="s">
        <v>39</v>
      </c>
      <c r="C85" s="237">
        <f>+Berekening2025!H68</f>
        <v>42.480000000000018</v>
      </c>
      <c r="G85" s="212"/>
      <c r="H85" s="210"/>
    </row>
    <row r="86" spans="2:8" x14ac:dyDescent="0.25">
      <c r="B86" s="234" t="s">
        <v>91</v>
      </c>
      <c r="C86" s="239">
        <f>+Berekening2025!H69</f>
        <v>42.480000000000018</v>
      </c>
      <c r="G86" s="212"/>
      <c r="H86" s="210"/>
    </row>
    <row r="87" spans="2:8" x14ac:dyDescent="0.25"/>
    <row r="88" spans="2:8" x14ac:dyDescent="0.25">
      <c r="B88" s="265" t="s">
        <v>103</v>
      </c>
      <c r="C88" s="266"/>
      <c r="D88" s="266"/>
      <c r="E88" s="266"/>
      <c r="F88" s="266"/>
      <c r="G88" s="266"/>
      <c r="H88" s="267"/>
    </row>
    <row r="89" spans="2:8" ht="51" customHeight="1" x14ac:dyDescent="0.25">
      <c r="B89" s="260" t="s">
        <v>151</v>
      </c>
      <c r="C89" s="260"/>
      <c r="D89" s="260"/>
      <c r="E89" s="260"/>
      <c r="F89" s="260"/>
      <c r="G89" s="260"/>
      <c r="H89" s="260"/>
    </row>
    <row r="90" spans="2:8" x14ac:dyDescent="0.25"/>
    <row r="91" spans="2:8" x14ac:dyDescent="0.25">
      <c r="B91" s="261" t="s">
        <v>110</v>
      </c>
      <c r="C91" s="261"/>
      <c r="D91" s="261"/>
      <c r="E91" s="261"/>
      <c r="F91" s="261"/>
      <c r="G91" s="261"/>
      <c r="H91" s="261"/>
    </row>
    <row r="92" spans="2:8" x14ac:dyDescent="0.25"/>
    <row r="93" spans="2:8" x14ac:dyDescent="0.25"/>
    <row r="94" spans="2:8" x14ac:dyDescent="0.25"/>
    <row r="95" spans="2:8" x14ac:dyDescent="0.25"/>
    <row r="96" spans="2:8"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sheetData>
  <sheetProtection algorithmName="SHA-512" hashValue="kQM0GrKb+A0ysV83XElN4FClgS/U401nav0w7+slfbnyCBRBWiephgwQgCnEtuxFfxKoWCJvEzAxQkW+DLUMIg==" saltValue="lp8wAnpcFBTZ798bRGfdtw==" spinCount="100000" sheet="1" objects="1" scenarios="1"/>
  <mergeCells count="25">
    <mergeCell ref="F65:H65"/>
    <mergeCell ref="B1:H6"/>
    <mergeCell ref="B17:H17"/>
    <mergeCell ref="B13:H15"/>
    <mergeCell ref="B44:D44"/>
    <mergeCell ref="F20:H20"/>
    <mergeCell ref="F21:H23"/>
    <mergeCell ref="F26:H30"/>
    <mergeCell ref="F39:H44"/>
    <mergeCell ref="F70:H74"/>
    <mergeCell ref="B89:H89"/>
    <mergeCell ref="B91:H91"/>
    <mergeCell ref="B32:H32"/>
    <mergeCell ref="B34:H34"/>
    <mergeCell ref="F38:H38"/>
    <mergeCell ref="B62:F62"/>
    <mergeCell ref="B46:H46"/>
    <mergeCell ref="F51:H51"/>
    <mergeCell ref="B88:H88"/>
    <mergeCell ref="B56:F56"/>
    <mergeCell ref="B57:F57"/>
    <mergeCell ref="F52:H53"/>
    <mergeCell ref="B35:H36"/>
    <mergeCell ref="B47:H48"/>
    <mergeCell ref="B45:F45"/>
  </mergeCells>
  <dataValidations xWindow="895" yWindow="451" count="2">
    <dataValidation type="whole" errorStyle="information" allowBlank="1" showInputMessage="1" showErrorMessage="1" errorTitle="Foutmelding" error="Een heel getal tussen 0 en 999.999" sqref="D21:D22">
      <formula1>0</formula1>
      <formula2>999999</formula2>
    </dataValidation>
    <dataValidation type="decimal" allowBlank="1" showInputMessage="1" showErrorMessage="1" errorTitle="Fout" error="Voer hier de kinderopvanguren in , een getal tussen 0 en 230" promptTitle="Voer aantal maanduren in" prompt="Voer hier het aantal kinderopvang uren per maand in dat gefactureerd wordt. KSH factureert niet meer 230 uur." sqref="D26:D29">
      <formula1>0</formula1>
      <formula2>230</formula2>
    </dataValidation>
  </dataValidations>
  <pageMargins left="0.7" right="0.7" top="0.75" bottom="0.75" header="0.3" footer="0.3"/>
  <pageSetup paperSize="9" scale="53" fitToWidth="0" orientation="portrait" r:id="rId1"/>
  <headerFooter>
    <oddFooter>&amp;CModel versie 3 juni 2025</oddFooter>
  </headerFooter>
  <drawing r:id="rId2"/>
  <extLst>
    <ext xmlns:x14="http://schemas.microsoft.com/office/spreadsheetml/2009/9/main" uri="{CCE6A557-97BC-4b89-ADB6-D9C93CAAB3DF}">
      <x14:dataValidations xmlns:xm="http://schemas.microsoft.com/office/excel/2006/main" xWindow="895" yWindow="451" count="1">
        <x14:dataValidation type="list" allowBlank="1" showInputMessage="1" showErrorMessage="1" promptTitle="Selecteer opvangvorm" prompt="Selecteer opvangvorm KDV (kinderdagverblijf), BSO (buitenschoolse opvang)">
          <x14:formula1>
            <xm:f>basisinfo2025!$A$1:$A$2</xm:f>
          </x14:formula1>
          <xm:sqref>B26:B29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topLeftCell="A11" workbookViewId="0">
      <selection activeCell="G35" sqref="G35"/>
    </sheetView>
  </sheetViews>
  <sheetFormatPr defaultColWidth="0" defaultRowHeight="14.25" zeroHeight="1" x14ac:dyDescent="0.2"/>
  <cols>
    <col min="1" max="1" width="8.85546875" style="132" customWidth="1"/>
    <col min="2" max="2" width="52.28515625" style="132" customWidth="1"/>
    <col min="3" max="3" width="15.28515625" style="132" customWidth="1"/>
    <col min="4" max="7" width="15.7109375" style="132" customWidth="1"/>
    <col min="8" max="8" width="12.7109375" style="16" customWidth="1"/>
    <col min="9" max="9" width="5.85546875" style="132" customWidth="1"/>
    <col min="10" max="16384" width="8.85546875" style="132" hidden="1"/>
  </cols>
  <sheetData>
    <row r="1" spans="2:8" ht="17.45" customHeight="1" x14ac:dyDescent="0.25">
      <c r="B1" s="279" t="s">
        <v>75</v>
      </c>
      <c r="C1" s="280"/>
      <c r="D1" s="280"/>
      <c r="E1" s="280"/>
      <c r="F1" s="280"/>
      <c r="G1" s="280"/>
      <c r="H1" s="281"/>
    </row>
    <row r="2" spans="2:8" ht="17.45" customHeight="1" x14ac:dyDescent="0.25">
      <c r="B2" s="282" t="s">
        <v>82</v>
      </c>
      <c r="C2" s="283"/>
      <c r="D2" s="283"/>
      <c r="E2" s="283"/>
      <c r="F2" s="283"/>
      <c r="G2" s="283"/>
      <c r="H2" s="284"/>
    </row>
    <row r="3" spans="2:8" ht="15" x14ac:dyDescent="0.25">
      <c r="B3" s="285" t="s">
        <v>34</v>
      </c>
      <c r="C3" s="286"/>
      <c r="D3" s="286"/>
      <c r="E3" s="286"/>
      <c r="F3" s="286"/>
      <c r="G3" s="286"/>
      <c r="H3" s="287"/>
    </row>
    <row r="4" spans="2:8" ht="15" x14ac:dyDescent="0.25">
      <c r="B4" s="288" t="s">
        <v>81</v>
      </c>
      <c r="C4" s="289"/>
      <c r="D4" s="289"/>
      <c r="E4" s="289"/>
      <c r="F4" s="289"/>
      <c r="G4" s="289"/>
      <c r="H4" s="290"/>
    </row>
    <row r="5" spans="2:8" x14ac:dyDescent="0.2"/>
    <row r="6" spans="2:8" ht="13.9" customHeight="1" x14ac:dyDescent="0.2">
      <c r="B6" s="291" t="s">
        <v>83</v>
      </c>
      <c r="C6" s="292"/>
      <c r="D6" s="292"/>
      <c r="E6" s="292"/>
      <c r="F6" s="292"/>
      <c r="G6" s="292"/>
      <c r="H6" s="293"/>
    </row>
    <row r="7" spans="2:8" x14ac:dyDescent="0.2">
      <c r="B7" s="294"/>
      <c r="C7" s="295"/>
      <c r="D7" s="295"/>
      <c r="E7" s="295"/>
      <c r="F7" s="295"/>
      <c r="G7" s="295"/>
      <c r="H7" s="296"/>
    </row>
    <row r="8" spans="2:8" ht="13.9" hidden="1" customHeight="1" x14ac:dyDescent="0.2">
      <c r="B8" s="294"/>
      <c r="C8" s="295"/>
      <c r="D8" s="295"/>
      <c r="E8" s="295"/>
      <c r="F8" s="295"/>
      <c r="G8" s="295"/>
      <c r="H8" s="296"/>
    </row>
    <row r="9" spans="2:8" ht="13.9" hidden="1" customHeight="1" x14ac:dyDescent="0.2">
      <c r="B9" s="297"/>
      <c r="C9" s="298"/>
      <c r="D9" s="298"/>
      <c r="E9" s="298"/>
      <c r="F9" s="298"/>
      <c r="G9" s="298"/>
      <c r="H9" s="299"/>
    </row>
    <row r="10" spans="2:8" ht="15" x14ac:dyDescent="0.25">
      <c r="B10" s="300" t="s">
        <v>48</v>
      </c>
      <c r="C10" s="301"/>
      <c r="D10" s="301"/>
      <c r="E10" s="301"/>
      <c r="F10" s="301"/>
      <c r="G10" s="301"/>
      <c r="H10" s="302"/>
    </row>
    <row r="11" spans="2:8" x14ac:dyDescent="0.2">
      <c r="B11" s="194"/>
      <c r="C11" s="194"/>
      <c r="D11" s="194"/>
      <c r="E11" s="194"/>
      <c r="F11" s="194"/>
      <c r="G11" s="194"/>
      <c r="H11" s="194"/>
    </row>
    <row r="12" spans="2:8" ht="13.9" customHeight="1" x14ac:dyDescent="0.2">
      <c r="C12" s="303" t="s">
        <v>47</v>
      </c>
      <c r="D12" s="303"/>
      <c r="E12" s="303"/>
      <c r="F12" s="170"/>
      <c r="G12" s="170"/>
    </row>
    <row r="13" spans="2:8" ht="13.9" customHeight="1" x14ac:dyDescent="0.2">
      <c r="C13" s="304" t="s">
        <v>61</v>
      </c>
      <c r="D13" s="304"/>
      <c r="E13" s="304"/>
      <c r="F13" s="170"/>
      <c r="G13" s="170"/>
    </row>
    <row r="14" spans="2:8" ht="13.9" customHeight="1" x14ac:dyDescent="0.2">
      <c r="C14" s="305" t="s">
        <v>61</v>
      </c>
      <c r="D14" s="305"/>
      <c r="E14" s="305"/>
      <c r="F14" s="170"/>
      <c r="G14" s="170"/>
    </row>
    <row r="15" spans="2:8" hidden="1" x14ac:dyDescent="0.2">
      <c r="B15" s="170"/>
      <c r="C15" s="170"/>
      <c r="D15" s="170"/>
      <c r="E15" s="170"/>
      <c r="F15" s="170"/>
      <c r="G15" s="170"/>
    </row>
    <row r="16" spans="2:8" hidden="1" x14ac:dyDescent="0.2">
      <c r="B16" s="170"/>
      <c r="C16" s="170"/>
      <c r="D16" s="170"/>
      <c r="E16" s="170"/>
      <c r="F16" s="170"/>
      <c r="G16" s="170"/>
    </row>
    <row r="17" spans="2:8" hidden="1" x14ac:dyDescent="0.2"/>
    <row r="18" spans="2:8" ht="15" x14ac:dyDescent="0.25">
      <c r="B18" s="133" t="s">
        <v>8</v>
      </c>
    </row>
    <row r="19" spans="2:8" ht="15.75" x14ac:dyDescent="0.25">
      <c r="B19" s="171" t="s">
        <v>53</v>
      </c>
      <c r="C19" s="11">
        <f>+'Indicatie netto kosten'!D22</f>
        <v>31500</v>
      </c>
      <c r="D19" s="130" t="s">
        <v>18</v>
      </c>
      <c r="E19" s="131" t="s">
        <v>54</v>
      </c>
      <c r="F19" s="129"/>
      <c r="G19" s="129"/>
    </row>
    <row r="20" spans="2:8" ht="15.75" x14ac:dyDescent="0.25">
      <c r="B20" s="179"/>
      <c r="C20" s="11"/>
      <c r="D20" s="130"/>
      <c r="E20" s="131"/>
      <c r="F20" s="129"/>
      <c r="G20" s="129"/>
    </row>
    <row r="21" spans="2:8" x14ac:dyDescent="0.2"/>
    <row r="22" spans="2:8" ht="15" x14ac:dyDescent="0.25">
      <c r="B22" s="133"/>
      <c r="D22" s="138" t="s">
        <v>19</v>
      </c>
    </row>
    <row r="23" spans="2:8" x14ac:dyDescent="0.2">
      <c r="D23" s="139" t="s">
        <v>3</v>
      </c>
      <c r="E23" s="139" t="s">
        <v>4</v>
      </c>
      <c r="F23" s="139" t="s">
        <v>5</v>
      </c>
      <c r="G23" s="139" t="s">
        <v>6</v>
      </c>
    </row>
    <row r="24" spans="2:8" ht="15" x14ac:dyDescent="0.25">
      <c r="B24" s="132" t="s">
        <v>16</v>
      </c>
      <c r="C24" s="140" t="s">
        <v>15</v>
      </c>
      <c r="D24" s="192" t="str">
        <f>+'Indicatie netto kosten'!B26</f>
        <v>KDV 0-4</v>
      </c>
      <c r="E24" s="192">
        <f>+'Indicatie netto kosten'!B27</f>
        <v>0</v>
      </c>
      <c r="F24" s="192">
        <f>+'Indicatie netto kosten'!B28</f>
        <v>0</v>
      </c>
      <c r="G24" s="192">
        <f>+'Indicatie netto kosten'!B29</f>
        <v>0</v>
      </c>
    </row>
    <row r="25" spans="2:8" ht="15" x14ac:dyDescent="0.25">
      <c r="B25" s="171" t="s">
        <v>59</v>
      </c>
      <c r="C25" s="140" t="s">
        <v>17</v>
      </c>
      <c r="D25" s="193">
        <f>+'Indicatie netto kosten'!D26</f>
        <v>100</v>
      </c>
      <c r="E25" s="193">
        <f>+'Indicatie netto kosten'!D27</f>
        <v>0</v>
      </c>
      <c r="F25" s="193">
        <f>+'Indicatie netto kosten'!D28</f>
        <v>0</v>
      </c>
      <c r="G25" s="193">
        <f>+'Indicatie netto kosten'!D29</f>
        <v>0</v>
      </c>
    </row>
    <row r="26" spans="2:8" ht="15" x14ac:dyDescent="0.25">
      <c r="B26" s="179"/>
      <c r="C26" s="140"/>
      <c r="D26" s="193"/>
      <c r="E26" s="193"/>
      <c r="F26" s="193"/>
      <c r="G26" s="193"/>
    </row>
    <row r="27" spans="2:8" ht="15" x14ac:dyDescent="0.25">
      <c r="B27" s="171" t="s">
        <v>80</v>
      </c>
      <c r="C27" s="140" t="s">
        <v>17</v>
      </c>
      <c r="D27" s="108">
        <f>IF(D24="KDV 0-4",10.02,8.64)</f>
        <v>10.02</v>
      </c>
      <c r="E27" s="108">
        <f t="shared" ref="E27:G27" si="0">IF(E24="KDV 0-4",10.02,8.64)</f>
        <v>8.64</v>
      </c>
      <c r="F27" s="108">
        <f t="shared" si="0"/>
        <v>8.64</v>
      </c>
      <c r="G27" s="108">
        <f t="shared" si="0"/>
        <v>8.64</v>
      </c>
    </row>
    <row r="28" spans="2:8" ht="15" x14ac:dyDescent="0.25">
      <c r="B28" s="179"/>
      <c r="C28" s="140"/>
      <c r="D28" s="108"/>
      <c r="E28" s="108"/>
      <c r="F28" s="108"/>
      <c r="G28" s="108"/>
    </row>
    <row r="29" spans="2:8" x14ac:dyDescent="0.2">
      <c r="B29" s="134"/>
      <c r="C29" s="134"/>
      <c r="D29" s="137"/>
      <c r="E29" s="137"/>
      <c r="F29" s="137"/>
      <c r="G29" s="137"/>
    </row>
    <row r="30" spans="2:8" x14ac:dyDescent="0.2"/>
    <row r="31" spans="2:8" x14ac:dyDescent="0.2">
      <c r="B31" s="199" t="s">
        <v>51</v>
      </c>
      <c r="C31" s="204"/>
      <c r="D31" s="120">
        <f>+D32</f>
        <v>10.25</v>
      </c>
      <c r="E31" s="120">
        <f t="shared" ref="E31:G31" si="1">+E32</f>
        <v>7.53</v>
      </c>
      <c r="F31" s="120">
        <f t="shared" si="1"/>
        <v>7.53</v>
      </c>
      <c r="G31" s="121">
        <f t="shared" si="1"/>
        <v>7.53</v>
      </c>
      <c r="H31" s="21"/>
    </row>
    <row r="32" spans="2:8" hidden="1" x14ac:dyDescent="0.2">
      <c r="B32" s="203" t="s">
        <v>36</v>
      </c>
      <c r="C32" s="134"/>
      <c r="D32" s="20">
        <f>+basisinfo2024!C13</f>
        <v>10.25</v>
      </c>
      <c r="E32" s="20">
        <f>+basisinfo2024!D13</f>
        <v>7.53</v>
      </c>
      <c r="F32" s="20">
        <f>+basisinfo2024!E13</f>
        <v>7.53</v>
      </c>
      <c r="G32" s="123">
        <f>+basisinfo2024!F13</f>
        <v>7.53</v>
      </c>
      <c r="H32" s="21"/>
    </row>
    <row r="33" spans="2:8" x14ac:dyDescent="0.2">
      <c r="B33" s="196"/>
      <c r="C33" s="185"/>
      <c r="D33" s="124"/>
      <c r="E33" s="124"/>
      <c r="F33" s="124"/>
      <c r="G33" s="125"/>
      <c r="H33" s="21"/>
    </row>
    <row r="34" spans="2:8" x14ac:dyDescent="0.2">
      <c r="B34" s="134"/>
      <c r="C34" s="134"/>
      <c r="D34" s="20"/>
      <c r="E34" s="20"/>
      <c r="F34" s="20"/>
      <c r="G34" s="20"/>
      <c r="H34" s="21"/>
    </row>
    <row r="35" spans="2:8" x14ac:dyDescent="0.2">
      <c r="B35" s="199" t="s">
        <v>52</v>
      </c>
      <c r="C35" s="204" t="s">
        <v>45</v>
      </c>
      <c r="D35" s="200">
        <f>IF(D25&gt;0,VLOOKUP($C$19,tabelkot2024!$A$2:$D$72,3)," ")</f>
        <v>93.4</v>
      </c>
      <c r="E35" s="200">
        <f>IF(E25&gt;0,VLOOKUP($C$19,tabelkot2024!$A$2:$D$72,4),0)</f>
        <v>0</v>
      </c>
      <c r="F35" s="200">
        <f>IF(F25&gt;0,VLOOKUP($C$19,tabelkot2024!$A$2:$D$72,4),0)</f>
        <v>0</v>
      </c>
      <c r="G35" s="200">
        <f>IF(G25&gt;0,VLOOKUP($C$19,tabelkot2024!$A$2:$D$72,4),0)</f>
        <v>0</v>
      </c>
      <c r="H35" s="21"/>
    </row>
    <row r="36" spans="2:8" x14ac:dyDescent="0.2">
      <c r="B36" s="196" t="s">
        <v>52</v>
      </c>
      <c r="C36" s="185" t="s">
        <v>45</v>
      </c>
      <c r="D36" s="201" t="e">
        <f>+#REF!</f>
        <v>#REF!</v>
      </c>
      <c r="E36" s="201" t="e">
        <f>+#REF!</f>
        <v>#REF!</v>
      </c>
      <c r="F36" s="201" t="e">
        <f>+#REF!</f>
        <v>#REF!</v>
      </c>
      <c r="G36" s="202" t="e">
        <f>+#REF!</f>
        <v>#REF!</v>
      </c>
      <c r="H36" s="21"/>
    </row>
    <row r="37" spans="2:8" x14ac:dyDescent="0.2">
      <c r="B37" s="134"/>
      <c r="D37" s="153"/>
      <c r="E37" s="153"/>
      <c r="F37" s="153"/>
      <c r="G37" s="153"/>
    </row>
    <row r="38" spans="2:8" hidden="1" x14ac:dyDescent="0.2">
      <c r="B38" s="134" t="s">
        <v>11</v>
      </c>
      <c r="C38" s="134"/>
      <c r="D38" s="136">
        <f>IF(D25&gt;230,230,D25)</f>
        <v>100</v>
      </c>
      <c r="E38" s="136">
        <f>IF(E25&gt;230,230,E25)</f>
        <v>0</v>
      </c>
      <c r="F38" s="136">
        <f>IF(F25&gt;230,230,F25)</f>
        <v>0</v>
      </c>
      <c r="G38" s="136">
        <f>IF(G25&gt;230,230,G25)</f>
        <v>0</v>
      </c>
      <c r="H38" s="21"/>
    </row>
    <row r="39" spans="2:8" ht="16.149999999999999" customHeight="1" x14ac:dyDescent="0.25">
      <c r="B39" s="189"/>
      <c r="C39" s="190"/>
      <c r="D39" s="191" t="str">
        <f>IF(D25&gt;0,+D24," ")</f>
        <v>KDV 0-4</v>
      </c>
      <c r="E39" s="191" t="str">
        <f>IF(E25&gt;0,+E24," ")</f>
        <v xml:space="preserve"> </v>
      </c>
      <c r="F39" s="191" t="str">
        <f>IF(F25&gt;0,+F24," ")</f>
        <v xml:space="preserve"> </v>
      </c>
      <c r="G39" s="191" t="str">
        <f>IF(G25&gt;0,+G24," ")</f>
        <v xml:space="preserve"> </v>
      </c>
      <c r="H39" s="103" t="s">
        <v>7</v>
      </c>
    </row>
    <row r="40" spans="2:8" ht="16.149999999999999" customHeight="1" x14ac:dyDescent="0.2">
      <c r="B40" s="173" t="s">
        <v>56</v>
      </c>
      <c r="C40" s="172"/>
      <c r="D40" s="178">
        <f>IF(D25&gt;0,(D66+D67)/D61," ")</f>
        <v>0</v>
      </c>
      <c r="E40" s="178" t="str">
        <f>IF(E25&gt;0,(E66+E67)/E61," ")</f>
        <v xml:space="preserve"> </v>
      </c>
      <c r="F40" s="178" t="str">
        <f>IF(F25&gt;0,(F66+F67)/F61," ")</f>
        <v xml:space="preserve"> </v>
      </c>
      <c r="G40" s="178" t="str">
        <f>IF(G25&gt;0,(G66+G67)/G61," ")</f>
        <v xml:space="preserve"> </v>
      </c>
      <c r="H40" s="195">
        <f>IF(H68&gt;0,(H66+H67)/H61,0%)</f>
        <v>0</v>
      </c>
    </row>
    <row r="41" spans="2:8" ht="16.149999999999999" customHeight="1" x14ac:dyDescent="0.2">
      <c r="B41" s="196" t="s">
        <v>56</v>
      </c>
      <c r="C41" s="185"/>
      <c r="D41" s="197" t="e">
        <f>+#REF!</f>
        <v>#REF!</v>
      </c>
      <c r="E41" s="197" t="e">
        <f>+#REF!</f>
        <v>#REF!</v>
      </c>
      <c r="F41" s="197" t="e">
        <f>+#REF!</f>
        <v>#REF!</v>
      </c>
      <c r="G41" s="197" t="e">
        <f>+#REF!</f>
        <v>#REF!</v>
      </c>
      <c r="H41" s="198" t="e">
        <f>+#REF!</f>
        <v>#REF!</v>
      </c>
    </row>
    <row r="42" spans="2:8" ht="16.149999999999999" hidden="1" customHeight="1" x14ac:dyDescent="0.2">
      <c r="B42" s="134"/>
      <c r="C42" s="134"/>
      <c r="D42" s="137"/>
      <c r="E42" s="137"/>
      <c r="F42" s="137"/>
      <c r="G42" s="137"/>
      <c r="H42" s="137"/>
    </row>
    <row r="43" spans="2:8" ht="16.149999999999999" hidden="1" customHeight="1" x14ac:dyDescent="0.2">
      <c r="B43" s="134"/>
      <c r="C43" s="134"/>
      <c r="D43" s="137"/>
      <c r="E43" s="137"/>
      <c r="F43" s="137"/>
      <c r="G43" s="137"/>
      <c r="H43" s="137"/>
    </row>
    <row r="44" spans="2:8" hidden="1" x14ac:dyDescent="0.2">
      <c r="B44" s="134" t="s">
        <v>10</v>
      </c>
      <c r="C44" s="134"/>
      <c r="D44" s="136">
        <f>IF(D25&gt;230,D25-230,0)</f>
        <v>0</v>
      </c>
      <c r="E44" s="136">
        <f>IF(E25&gt;230,E25-230,0)</f>
        <v>0</v>
      </c>
      <c r="F44" s="136">
        <f>IF(F25&gt;230,F25-230,0)</f>
        <v>0</v>
      </c>
      <c r="G44" s="136">
        <f>IF(G25&gt;230,G25-230,0)</f>
        <v>0</v>
      </c>
      <c r="H44" s="21"/>
    </row>
    <row r="45" spans="2:8" ht="15" hidden="1" x14ac:dyDescent="0.25">
      <c r="B45" s="134"/>
      <c r="C45" s="134"/>
      <c r="D45" s="137"/>
      <c r="E45" s="137"/>
      <c r="F45" s="137"/>
      <c r="G45" s="137"/>
      <c r="H45" s="24" t="s">
        <v>7</v>
      </c>
    </row>
    <row r="46" spans="2:8" ht="15" hidden="1" x14ac:dyDescent="0.25">
      <c r="B46" s="135" t="s">
        <v>9</v>
      </c>
      <c r="C46" s="135"/>
      <c r="D46" s="25">
        <f>D25*D27</f>
        <v>1002</v>
      </c>
      <c r="E46" s="25">
        <f>E25*E27</f>
        <v>0</v>
      </c>
      <c r="F46" s="25">
        <f>F25*F27</f>
        <v>0</v>
      </c>
      <c r="G46" s="25">
        <f>G25*G27</f>
        <v>0</v>
      </c>
      <c r="H46" s="25">
        <f>SUM(D46:G46)</f>
        <v>1002</v>
      </c>
    </row>
    <row r="47" spans="2:8" hidden="1" x14ac:dyDescent="0.2">
      <c r="B47" s="134" t="s">
        <v>24</v>
      </c>
      <c r="C47" s="134"/>
      <c r="D47" s="21">
        <f>IF(D27&gt;D31,D25*(D27-D32),0)</f>
        <v>0</v>
      </c>
      <c r="E47" s="21">
        <f>IF(E27&gt;E31,E25*(E27-E32),0)</f>
        <v>0</v>
      </c>
      <c r="F47" s="21">
        <f>IF(F27&gt;F31,F25*(F27-F32),0)</f>
        <v>0</v>
      </c>
      <c r="G47" s="21">
        <f>IF(G27&gt;G31,G25*(G27-G32),0)</f>
        <v>0</v>
      </c>
      <c r="H47" s="21">
        <f>SUM(D47:G47)</f>
        <v>0</v>
      </c>
    </row>
    <row r="48" spans="2:8" ht="16.5" hidden="1" x14ac:dyDescent="0.35">
      <c r="B48" s="134" t="s">
        <v>25</v>
      </c>
      <c r="C48" s="134"/>
      <c r="D48" s="26">
        <f>D44*D32</f>
        <v>0</v>
      </c>
      <c r="E48" s="26">
        <f>E44*E32</f>
        <v>0</v>
      </c>
      <c r="F48" s="26">
        <f>F44*F32</f>
        <v>0</v>
      </c>
      <c r="G48" s="26">
        <f>G44*G32</f>
        <v>0</v>
      </c>
      <c r="H48" s="26">
        <f t="shared" ref="H48" si="2">SUM(D48:G48)</f>
        <v>0</v>
      </c>
    </row>
    <row r="49" spans="2:9" hidden="1" x14ac:dyDescent="0.2">
      <c r="B49" s="134"/>
      <c r="C49" s="134"/>
      <c r="D49" s="21"/>
      <c r="E49" s="21"/>
      <c r="F49" s="21"/>
      <c r="G49" s="21"/>
      <c r="H49" s="21"/>
      <c r="I49" s="17"/>
    </row>
    <row r="50" spans="2:9" ht="15" hidden="1" x14ac:dyDescent="0.25">
      <c r="B50" s="135" t="s">
        <v>26</v>
      </c>
      <c r="C50" s="135"/>
      <c r="D50" s="25">
        <f>D46-D47-D48</f>
        <v>1002</v>
      </c>
      <c r="E50" s="25">
        <f t="shared" ref="E50:H50" si="3">E46-E47-E48</f>
        <v>0</v>
      </c>
      <c r="F50" s="25">
        <f t="shared" si="3"/>
        <v>0</v>
      </c>
      <c r="G50" s="25">
        <f t="shared" si="3"/>
        <v>0</v>
      </c>
      <c r="H50" s="25">
        <f t="shared" si="3"/>
        <v>1002</v>
      </c>
    </row>
    <row r="51" spans="2:9" hidden="1" x14ac:dyDescent="0.2">
      <c r="B51" s="134" t="s">
        <v>27</v>
      </c>
      <c r="C51" s="134"/>
      <c r="D51" s="21">
        <f>IF(D25&gt;0,D50*D35%,0)</f>
        <v>935.86800000000005</v>
      </c>
      <c r="E51" s="21">
        <f>IF(E25&gt;0,E50*E35%,0)</f>
        <v>0</v>
      </c>
      <c r="F51" s="21">
        <f>IF(F25&gt;0,F50*F35%,0)</f>
        <v>0</v>
      </c>
      <c r="G51" s="21">
        <f>IF(G25&gt;0,G50*G35%,0)</f>
        <v>0</v>
      </c>
      <c r="H51" s="21">
        <f>SUM(D51:G51)</f>
        <v>935.86800000000005</v>
      </c>
    </row>
    <row r="52" spans="2:9" hidden="1" x14ac:dyDescent="0.2">
      <c r="B52" s="134"/>
      <c r="C52" s="134"/>
      <c r="D52" s="21"/>
      <c r="E52" s="21"/>
      <c r="F52" s="21"/>
      <c r="G52" s="21"/>
      <c r="H52" s="21"/>
    </row>
    <row r="53" spans="2:9" hidden="1" x14ac:dyDescent="0.2">
      <c r="B53" s="134"/>
      <c r="C53" s="134"/>
      <c r="D53" s="21"/>
      <c r="E53" s="21"/>
      <c r="F53" s="21"/>
      <c r="G53" s="21"/>
      <c r="H53" s="21"/>
    </row>
    <row r="54" spans="2:9" hidden="1" x14ac:dyDescent="0.2">
      <c r="B54" s="134"/>
      <c r="C54" s="134"/>
      <c r="D54" s="21"/>
      <c r="E54" s="21"/>
      <c r="F54" s="21"/>
      <c r="G54" s="21"/>
      <c r="H54" s="21"/>
    </row>
    <row r="55" spans="2:9" x14ac:dyDescent="0.2">
      <c r="B55" s="134"/>
      <c r="C55" s="134"/>
      <c r="D55" s="21"/>
      <c r="E55" s="21"/>
      <c r="F55" s="21"/>
      <c r="G55" s="21"/>
      <c r="H55" s="21"/>
    </row>
    <row r="56" spans="2:9" ht="13.9" customHeight="1" x14ac:dyDescent="0.2">
      <c r="B56" s="306" t="s">
        <v>86</v>
      </c>
      <c r="C56" s="307"/>
      <c r="D56" s="307"/>
      <c r="E56" s="307"/>
      <c r="F56" s="307"/>
      <c r="G56" s="307"/>
      <c r="H56" s="308"/>
    </row>
    <row r="57" spans="2:9" x14ac:dyDescent="0.2">
      <c r="B57" s="309"/>
      <c r="C57" s="310"/>
      <c r="D57" s="310"/>
      <c r="E57" s="310"/>
      <c r="F57" s="310"/>
      <c r="G57" s="310"/>
      <c r="H57" s="311"/>
    </row>
    <row r="58" spans="2:9" x14ac:dyDescent="0.2">
      <c r="B58" s="312"/>
      <c r="C58" s="313"/>
      <c r="D58" s="313"/>
      <c r="E58" s="313"/>
      <c r="F58" s="313"/>
      <c r="G58" s="313"/>
      <c r="H58" s="314"/>
    </row>
    <row r="59" spans="2:9" x14ac:dyDescent="0.2">
      <c r="B59" s="134"/>
      <c r="C59" s="134"/>
      <c r="D59" s="21"/>
      <c r="E59" s="21"/>
      <c r="F59" s="21"/>
      <c r="G59" s="21"/>
      <c r="H59" s="21"/>
    </row>
    <row r="60" spans="2:9" ht="15" x14ac:dyDescent="0.25">
      <c r="B60" s="277" t="s">
        <v>46</v>
      </c>
      <c r="C60" s="278"/>
      <c r="D60" s="66"/>
      <c r="E60" s="66"/>
      <c r="F60" s="66"/>
      <c r="G60" s="66"/>
      <c r="H60" s="67"/>
    </row>
    <row r="61" spans="2:9" x14ac:dyDescent="0.2">
      <c r="B61" s="173" t="s">
        <v>13</v>
      </c>
      <c r="C61" s="172"/>
      <c r="D61" s="69">
        <f>+D46</f>
        <v>1002</v>
      </c>
      <c r="E61" s="69">
        <f>+E46</f>
        <v>0</v>
      </c>
      <c r="F61" s="69">
        <f>+F46</f>
        <v>0</v>
      </c>
      <c r="G61" s="69">
        <f>+G46</f>
        <v>0</v>
      </c>
      <c r="H61" s="70">
        <f>SUM(D61:G61)</f>
        <v>1002</v>
      </c>
    </row>
    <row r="62" spans="2:9" ht="16.5" x14ac:dyDescent="0.35">
      <c r="B62" s="173" t="s">
        <v>12</v>
      </c>
      <c r="C62" s="172"/>
      <c r="D62" s="71">
        <f>+D51</f>
        <v>935.86800000000005</v>
      </c>
      <c r="E62" s="71">
        <f>+E51</f>
        <v>0</v>
      </c>
      <c r="F62" s="71">
        <f>+F51</f>
        <v>0</v>
      </c>
      <c r="G62" s="71">
        <f>+G51</f>
        <v>0</v>
      </c>
      <c r="H62" s="72">
        <f>SUM(D62:G62)</f>
        <v>935.86800000000005</v>
      </c>
    </row>
    <row r="63" spans="2:9" s="133" customFormat="1" ht="15" x14ac:dyDescent="0.25">
      <c r="B63" s="174" t="s">
        <v>40</v>
      </c>
      <c r="C63" s="175"/>
      <c r="D63" s="75">
        <f>D61-D62</f>
        <v>66.131999999999948</v>
      </c>
      <c r="E63" s="75">
        <f t="shared" ref="E63:H63" si="4">E61-E62</f>
        <v>0</v>
      </c>
      <c r="F63" s="75">
        <f t="shared" si="4"/>
        <v>0</v>
      </c>
      <c r="G63" s="75">
        <f t="shared" si="4"/>
        <v>0</v>
      </c>
      <c r="H63" s="76">
        <f t="shared" si="4"/>
        <v>66.131999999999948</v>
      </c>
    </row>
    <row r="64" spans="2:9" x14ac:dyDescent="0.2">
      <c r="B64" s="173"/>
      <c r="C64" s="172"/>
      <c r="D64" s="69"/>
      <c r="E64" s="69"/>
      <c r="F64" s="69"/>
      <c r="G64" s="69"/>
      <c r="H64" s="70"/>
    </row>
    <row r="65" spans="2:8" ht="15" x14ac:dyDescent="0.25">
      <c r="B65" s="174" t="s">
        <v>41</v>
      </c>
      <c r="C65" s="172"/>
      <c r="D65" s="69"/>
      <c r="E65" s="69"/>
      <c r="F65" s="69"/>
      <c r="G65" s="69"/>
      <c r="H65" s="70"/>
    </row>
    <row r="66" spans="2:8" x14ac:dyDescent="0.2">
      <c r="B66" s="173" t="s">
        <v>37</v>
      </c>
      <c r="C66" s="172"/>
      <c r="D66" s="69">
        <f t="shared" ref="D66:G67" si="5">+D47</f>
        <v>0</v>
      </c>
      <c r="E66" s="69">
        <f t="shared" si="5"/>
        <v>0</v>
      </c>
      <c r="F66" s="69">
        <f t="shared" si="5"/>
        <v>0</v>
      </c>
      <c r="G66" s="69">
        <f t="shared" si="5"/>
        <v>0</v>
      </c>
      <c r="H66" s="70">
        <f>SUM(D66:G66)</f>
        <v>0</v>
      </c>
    </row>
    <row r="67" spans="2:8" x14ac:dyDescent="0.2">
      <c r="B67" s="173" t="s">
        <v>38</v>
      </c>
      <c r="C67" s="172"/>
      <c r="D67" s="69">
        <f t="shared" si="5"/>
        <v>0</v>
      </c>
      <c r="E67" s="69">
        <f t="shared" si="5"/>
        <v>0</v>
      </c>
      <c r="F67" s="69">
        <f t="shared" si="5"/>
        <v>0</v>
      </c>
      <c r="G67" s="69">
        <f t="shared" si="5"/>
        <v>0</v>
      </c>
      <c r="H67" s="70">
        <f>SUM(D67:G67)</f>
        <v>0</v>
      </c>
    </row>
    <row r="68" spans="2:8" ht="16.5" x14ac:dyDescent="0.35">
      <c r="B68" s="173" t="s">
        <v>39</v>
      </c>
      <c r="C68" s="172"/>
      <c r="D68" s="71">
        <f>D50-D51</f>
        <v>66.131999999999948</v>
      </c>
      <c r="E68" s="71">
        <f>E50-E51</f>
        <v>0</v>
      </c>
      <c r="F68" s="71">
        <f>F50-F51</f>
        <v>0</v>
      </c>
      <c r="G68" s="71">
        <f>G50-G51</f>
        <v>0</v>
      </c>
      <c r="H68" s="72">
        <f>SUM(D68:G68)</f>
        <v>66.131999999999948</v>
      </c>
    </row>
    <row r="69" spans="2:8" ht="15" x14ac:dyDescent="0.25">
      <c r="B69" s="176" t="s">
        <v>60</v>
      </c>
      <c r="C69" s="177"/>
      <c r="D69" s="79">
        <f>SUM(D66:D68)</f>
        <v>66.131999999999948</v>
      </c>
      <c r="E69" s="79">
        <f>SUM(E66:E68)</f>
        <v>0</v>
      </c>
      <c r="F69" s="79">
        <f>SUM(F66:F68)</f>
        <v>0</v>
      </c>
      <c r="G69" s="79">
        <f>SUM(G66:G68)</f>
        <v>0</v>
      </c>
      <c r="H69" s="80">
        <f>SUM(H66:H68)</f>
        <v>66.131999999999948</v>
      </c>
    </row>
    <row r="70" spans="2:8" x14ac:dyDescent="0.2">
      <c r="B70" s="134"/>
      <c r="C70" s="134"/>
      <c r="D70" s="134"/>
      <c r="E70" s="134"/>
      <c r="F70" s="134"/>
      <c r="G70" s="134"/>
      <c r="H70" s="21"/>
    </row>
    <row r="71" spans="2:8" x14ac:dyDescent="0.2">
      <c r="B71" s="134"/>
      <c r="C71" s="134"/>
      <c r="D71" s="134"/>
      <c r="E71" s="134"/>
      <c r="F71" s="134"/>
      <c r="G71" s="134"/>
      <c r="H71" s="21"/>
    </row>
    <row r="72" spans="2:8" ht="15" x14ac:dyDescent="0.25">
      <c r="B72" s="277" t="s">
        <v>46</v>
      </c>
      <c r="C72" s="278"/>
      <c r="D72" s="84"/>
      <c r="E72" s="84"/>
      <c r="F72" s="84"/>
      <c r="G72" s="84"/>
      <c r="H72" s="85"/>
    </row>
    <row r="73" spans="2:8" x14ac:dyDescent="0.2">
      <c r="B73" s="181" t="s">
        <v>13</v>
      </c>
      <c r="C73" s="180"/>
      <c r="D73" s="87" t="e">
        <f>+#REF!</f>
        <v>#REF!</v>
      </c>
      <c r="E73" s="87" t="e">
        <f>+#REF!</f>
        <v>#REF!</v>
      </c>
      <c r="F73" s="87" t="e">
        <f>+#REF!</f>
        <v>#REF!</v>
      </c>
      <c r="G73" s="87" t="e">
        <f>+#REF!</f>
        <v>#REF!</v>
      </c>
      <c r="H73" s="88" t="e">
        <f>SUM(D73:G73)</f>
        <v>#REF!</v>
      </c>
    </row>
    <row r="74" spans="2:8" ht="16.5" x14ac:dyDescent="0.35">
      <c r="B74" s="181" t="s">
        <v>12</v>
      </c>
      <c r="C74" s="180"/>
      <c r="D74" s="89" t="e">
        <f>+#REF!</f>
        <v>#REF!</v>
      </c>
      <c r="E74" s="89" t="e">
        <f>+#REF!</f>
        <v>#REF!</v>
      </c>
      <c r="F74" s="89" t="e">
        <f>+#REF!</f>
        <v>#REF!</v>
      </c>
      <c r="G74" s="89" t="e">
        <f>+#REF!</f>
        <v>#REF!</v>
      </c>
      <c r="H74" s="90" t="e">
        <f>SUM(D74:G74)</f>
        <v>#REF!</v>
      </c>
    </row>
    <row r="75" spans="2:8" s="133" customFormat="1" ht="15" x14ac:dyDescent="0.25">
      <c r="B75" s="182" t="s">
        <v>40</v>
      </c>
      <c r="C75" s="183"/>
      <c r="D75" s="93" t="e">
        <f>D73-D74</f>
        <v>#REF!</v>
      </c>
      <c r="E75" s="93" t="e">
        <f t="shared" ref="E75:H75" si="6">E73-E74</f>
        <v>#REF!</v>
      </c>
      <c r="F75" s="93" t="e">
        <f t="shared" si="6"/>
        <v>#REF!</v>
      </c>
      <c r="G75" s="93" t="e">
        <f t="shared" si="6"/>
        <v>#REF!</v>
      </c>
      <c r="H75" s="94" t="e">
        <f t="shared" si="6"/>
        <v>#REF!</v>
      </c>
    </row>
    <row r="76" spans="2:8" x14ac:dyDescent="0.2">
      <c r="B76" s="181"/>
      <c r="C76" s="180"/>
      <c r="D76" s="87"/>
      <c r="E76" s="87"/>
      <c r="F76" s="87"/>
      <c r="G76" s="87"/>
      <c r="H76" s="88"/>
    </row>
    <row r="77" spans="2:8" ht="15" x14ac:dyDescent="0.25">
      <c r="B77" s="182" t="s">
        <v>41</v>
      </c>
      <c r="C77" s="180"/>
      <c r="D77" s="87"/>
      <c r="E77" s="87"/>
      <c r="F77" s="87"/>
      <c r="G77" s="87"/>
      <c r="H77" s="88"/>
    </row>
    <row r="78" spans="2:8" x14ac:dyDescent="0.2">
      <c r="B78" s="181" t="s">
        <v>37</v>
      </c>
      <c r="C78" s="180"/>
      <c r="D78" s="87" t="e">
        <f>+#REF!</f>
        <v>#REF!</v>
      </c>
      <c r="E78" s="87" t="e">
        <f>+#REF!</f>
        <v>#REF!</v>
      </c>
      <c r="F78" s="87" t="e">
        <f>+#REF!</f>
        <v>#REF!</v>
      </c>
      <c r="G78" s="87" t="e">
        <f>+#REF!</f>
        <v>#REF!</v>
      </c>
      <c r="H78" s="88" t="e">
        <f>SUM(D78:G78)</f>
        <v>#REF!</v>
      </c>
    </row>
    <row r="79" spans="2:8" x14ac:dyDescent="0.2">
      <c r="B79" s="181" t="s">
        <v>38</v>
      </c>
      <c r="C79" s="180"/>
      <c r="D79" s="87" t="e">
        <f>+#REF!</f>
        <v>#REF!</v>
      </c>
      <c r="E79" s="87" t="e">
        <f>+#REF!</f>
        <v>#REF!</v>
      </c>
      <c r="F79" s="87" t="e">
        <f>+#REF!</f>
        <v>#REF!</v>
      </c>
      <c r="G79" s="87" t="e">
        <f>+#REF!</f>
        <v>#REF!</v>
      </c>
      <c r="H79" s="88" t="e">
        <f>SUM(D79:G79)</f>
        <v>#REF!</v>
      </c>
    </row>
    <row r="80" spans="2:8" ht="16.5" x14ac:dyDescent="0.35">
      <c r="B80" s="181" t="s">
        <v>39</v>
      </c>
      <c r="C80" s="180"/>
      <c r="D80" s="89" t="e">
        <f>+#REF!</f>
        <v>#REF!</v>
      </c>
      <c r="E80" s="89" t="e">
        <f>+#REF!</f>
        <v>#REF!</v>
      </c>
      <c r="F80" s="89" t="e">
        <f>+#REF!</f>
        <v>#REF!</v>
      </c>
      <c r="G80" s="89" t="e">
        <f>+#REF!</f>
        <v>#REF!</v>
      </c>
      <c r="H80" s="90" t="e">
        <f>SUM(D80:G80)</f>
        <v>#REF!</v>
      </c>
    </row>
    <row r="81" spans="2:8" ht="15" x14ac:dyDescent="0.25">
      <c r="B81" s="184" t="s">
        <v>60</v>
      </c>
      <c r="C81" s="185"/>
      <c r="D81" s="97" t="e">
        <f>SUM(D78:D80)</f>
        <v>#REF!</v>
      </c>
      <c r="E81" s="97" t="e">
        <f t="shared" ref="E81:G81" si="7">SUM(E78:E80)</f>
        <v>#REF!</v>
      </c>
      <c r="F81" s="97" t="e">
        <f t="shared" si="7"/>
        <v>#REF!</v>
      </c>
      <c r="G81" s="97" t="e">
        <f t="shared" si="7"/>
        <v>#REF!</v>
      </c>
      <c r="H81" s="98" t="e">
        <f>SUM(H78:H80)</f>
        <v>#REF!</v>
      </c>
    </row>
    <row r="82" spans="2:8" ht="15" x14ac:dyDescent="0.25">
      <c r="B82" s="135"/>
      <c r="C82" s="134"/>
      <c r="D82" s="25"/>
      <c r="E82" s="25"/>
      <c r="F82" s="25"/>
      <c r="G82" s="25"/>
      <c r="H82" s="25"/>
    </row>
    <row r="83" spans="2:8" ht="13.9" customHeight="1" x14ac:dyDescent="0.2">
      <c r="B83" s="317" t="s">
        <v>87</v>
      </c>
      <c r="C83" s="318"/>
      <c r="D83" s="318"/>
      <c r="E83" s="318"/>
      <c r="F83" s="318"/>
      <c r="G83" s="318"/>
      <c r="H83" s="319"/>
    </row>
    <row r="84" spans="2:8" x14ac:dyDescent="0.2">
      <c r="B84" s="320"/>
      <c r="C84" s="321"/>
      <c r="D84" s="321"/>
      <c r="E84" s="321"/>
      <c r="F84" s="321"/>
      <c r="G84" s="321"/>
      <c r="H84" s="322"/>
    </row>
    <row r="85" spans="2:8" ht="15" x14ac:dyDescent="0.25">
      <c r="B85" s="323" t="e">
        <f>IF(D35&lt;&gt;D36,"LET OP : DE INKOMENS OVER DE 2 JAREN VERSCHILLEN DUSDANIG DAT ER EEN VERSCHIL IS IN DE TOESLAGEN"," ")</f>
        <v>#REF!</v>
      </c>
      <c r="C85" s="323"/>
      <c r="D85" s="323"/>
      <c r="E85" s="323"/>
      <c r="F85" s="323"/>
      <c r="G85" s="323"/>
      <c r="H85" s="323"/>
    </row>
    <row r="86" spans="2:8" ht="15" x14ac:dyDescent="0.25">
      <c r="B86" s="323" t="str">
        <f>IF(D25&lt;&gt;D26,"LET OP : ER IS GEEN REKENING GEHOUDEN MET EEN VERSCHIL IN AANTAL KINDEROPVANGUREN TUSSEN DE 2 JAREN !"," ")</f>
        <v>LET OP : ER IS GEEN REKENING GEHOUDEN MET EEN VERSCHIL IN AANTAL KINDEROPVANGUREN TUSSEN DE 2 JAREN !</v>
      </c>
      <c r="C86" s="323"/>
      <c r="D86" s="323"/>
      <c r="E86" s="323"/>
      <c r="F86" s="323"/>
      <c r="G86" s="323"/>
      <c r="H86" s="323"/>
    </row>
    <row r="87" spans="2:8" ht="15" x14ac:dyDescent="0.25">
      <c r="B87" s="161" t="s">
        <v>78</v>
      </c>
      <c r="C87" s="154"/>
      <c r="D87" s="46"/>
      <c r="E87" s="46"/>
      <c r="F87" s="46"/>
      <c r="G87" s="46"/>
      <c r="H87" s="47"/>
    </row>
    <row r="88" spans="2:8" x14ac:dyDescent="0.2">
      <c r="B88" s="155" t="s">
        <v>13</v>
      </c>
      <c r="C88" s="156"/>
      <c r="D88" s="162" t="e">
        <f>D73-D61</f>
        <v>#REF!</v>
      </c>
      <c r="E88" s="162" t="e">
        <f>E73-E61</f>
        <v>#REF!</v>
      </c>
      <c r="F88" s="162" t="e">
        <f>F73-F61</f>
        <v>#REF!</v>
      </c>
      <c r="G88" s="162" t="e">
        <f>G73-G61</f>
        <v>#REF!</v>
      </c>
      <c r="H88" s="163" t="e">
        <f>H73-H61</f>
        <v>#REF!</v>
      </c>
    </row>
    <row r="89" spans="2:8" ht="16.5" x14ac:dyDescent="0.35">
      <c r="B89" s="155" t="s">
        <v>12</v>
      </c>
      <c r="C89" s="156"/>
      <c r="D89" s="164" t="e">
        <f>D62-D74</f>
        <v>#REF!</v>
      </c>
      <c r="E89" s="164" t="e">
        <f>E62-E74</f>
        <v>#REF!</v>
      </c>
      <c r="F89" s="164" t="e">
        <f>F62-F74</f>
        <v>#REF!</v>
      </c>
      <c r="G89" s="164" t="e">
        <f>G62-G74</f>
        <v>#REF!</v>
      </c>
      <c r="H89" s="165" t="e">
        <f>H62-H74</f>
        <v>#REF!</v>
      </c>
    </row>
    <row r="90" spans="2:8" ht="15" x14ac:dyDescent="0.25">
      <c r="B90" s="157" t="s">
        <v>40</v>
      </c>
      <c r="C90" s="158"/>
      <c r="D90" s="166" t="e">
        <f>D75-D63</f>
        <v>#REF!</v>
      </c>
      <c r="E90" s="166" t="e">
        <f>E75-E63</f>
        <v>#REF!</v>
      </c>
      <c r="F90" s="166" t="e">
        <f>F75-F63</f>
        <v>#REF!</v>
      </c>
      <c r="G90" s="166" t="e">
        <f>G75-G63</f>
        <v>#REF!</v>
      </c>
      <c r="H90" s="167" t="e">
        <f>H75-H63</f>
        <v>#REF!</v>
      </c>
    </row>
    <row r="91" spans="2:8" x14ac:dyDescent="0.2">
      <c r="B91" s="155"/>
      <c r="C91" s="156"/>
      <c r="D91" s="162"/>
      <c r="E91" s="162"/>
      <c r="F91" s="162"/>
      <c r="G91" s="162"/>
      <c r="H91" s="163"/>
    </row>
    <row r="92" spans="2:8" ht="15" x14ac:dyDescent="0.25">
      <c r="B92" s="157" t="s">
        <v>41</v>
      </c>
      <c r="C92" s="156"/>
      <c r="D92" s="162"/>
      <c r="E92" s="162"/>
      <c r="F92" s="162"/>
      <c r="G92" s="162"/>
      <c r="H92" s="163"/>
    </row>
    <row r="93" spans="2:8" x14ac:dyDescent="0.2">
      <c r="B93" s="155" t="s">
        <v>37</v>
      </c>
      <c r="C93" s="156"/>
      <c r="D93" s="162" t="e">
        <f t="shared" ref="D93:G95" si="8">D78-D66</f>
        <v>#REF!</v>
      </c>
      <c r="E93" s="162" t="e">
        <f t="shared" si="8"/>
        <v>#REF!</v>
      </c>
      <c r="F93" s="162" t="e">
        <f t="shared" si="8"/>
        <v>#REF!</v>
      </c>
      <c r="G93" s="162" t="e">
        <f t="shared" si="8"/>
        <v>#REF!</v>
      </c>
      <c r="H93" s="163" t="e">
        <f>SUM(D93:G93)</f>
        <v>#REF!</v>
      </c>
    </row>
    <row r="94" spans="2:8" x14ac:dyDescent="0.2">
      <c r="B94" s="155" t="s">
        <v>38</v>
      </c>
      <c r="C94" s="156"/>
      <c r="D94" s="162" t="e">
        <f t="shared" si="8"/>
        <v>#REF!</v>
      </c>
      <c r="E94" s="162" t="e">
        <f t="shared" si="8"/>
        <v>#REF!</v>
      </c>
      <c r="F94" s="162" t="e">
        <f t="shared" si="8"/>
        <v>#REF!</v>
      </c>
      <c r="G94" s="162" t="e">
        <f t="shared" si="8"/>
        <v>#REF!</v>
      </c>
      <c r="H94" s="163" t="e">
        <f>SUM(D94:G94)</f>
        <v>#REF!</v>
      </c>
    </row>
    <row r="95" spans="2:8" ht="16.5" x14ac:dyDescent="0.35">
      <c r="B95" s="155" t="s">
        <v>39</v>
      </c>
      <c r="C95" s="156"/>
      <c r="D95" s="164" t="e">
        <f t="shared" si="8"/>
        <v>#REF!</v>
      </c>
      <c r="E95" s="164" t="e">
        <f t="shared" si="8"/>
        <v>#REF!</v>
      </c>
      <c r="F95" s="164" t="e">
        <f t="shared" si="8"/>
        <v>#REF!</v>
      </c>
      <c r="G95" s="164" t="e">
        <f t="shared" si="8"/>
        <v>#REF!</v>
      </c>
      <c r="H95" s="165" t="e">
        <f>SUM(D95:G95)</f>
        <v>#REF!</v>
      </c>
    </row>
    <row r="96" spans="2:8" ht="15" x14ac:dyDescent="0.25">
      <c r="B96" s="159" t="s">
        <v>40</v>
      </c>
      <c r="C96" s="160"/>
      <c r="D96" s="168" t="e">
        <f>SUM(D93:D95)</f>
        <v>#REF!</v>
      </c>
      <c r="E96" s="168" t="e">
        <f t="shared" ref="E96:G96" si="9">SUM(E93:E95)</f>
        <v>#REF!</v>
      </c>
      <c r="F96" s="168" t="e">
        <f t="shared" si="9"/>
        <v>#REF!</v>
      </c>
      <c r="G96" s="168" t="e">
        <f t="shared" si="9"/>
        <v>#REF!</v>
      </c>
      <c r="H96" s="169" t="e">
        <f>SUM(H93:H95)</f>
        <v>#REF!</v>
      </c>
    </row>
    <row r="97" spans="2:8" x14ac:dyDescent="0.2">
      <c r="B97" s="134"/>
      <c r="C97" s="134"/>
      <c r="D97" s="134"/>
      <c r="E97" s="134"/>
      <c r="F97" s="134"/>
      <c r="G97" s="134"/>
      <c r="H97" s="21"/>
    </row>
    <row r="98" spans="2:8" x14ac:dyDescent="0.2">
      <c r="B98" s="134"/>
      <c r="C98" s="134"/>
      <c r="D98" s="134"/>
      <c r="E98" s="134"/>
      <c r="F98" s="134"/>
      <c r="G98" s="134"/>
      <c r="H98" s="21"/>
    </row>
    <row r="99" spans="2:8" ht="13.9" customHeight="1" x14ac:dyDescent="0.2">
      <c r="B99" s="317" t="s">
        <v>49</v>
      </c>
      <c r="C99" s="318"/>
      <c r="D99" s="318"/>
      <c r="E99" s="318"/>
      <c r="F99" s="318"/>
      <c r="G99" s="318"/>
      <c r="H99" s="319"/>
    </row>
    <row r="100" spans="2:8" x14ac:dyDescent="0.2">
      <c r="B100" s="320"/>
      <c r="C100" s="321"/>
      <c r="D100" s="321"/>
      <c r="E100" s="321"/>
      <c r="F100" s="321"/>
      <c r="G100" s="321"/>
      <c r="H100" s="322"/>
    </row>
    <row r="101" spans="2:8" x14ac:dyDescent="0.2">
      <c r="B101" s="134"/>
      <c r="C101" s="134"/>
      <c r="D101" s="134"/>
      <c r="E101" s="134"/>
      <c r="F101" s="134"/>
      <c r="G101" s="134"/>
      <c r="H101" s="21"/>
    </row>
    <row r="102" spans="2:8" x14ac:dyDescent="0.2">
      <c r="B102" s="172" t="s">
        <v>71</v>
      </c>
      <c r="C102" s="172"/>
      <c r="D102" s="178">
        <f>IF(D$69&lt;&gt;0,D69/D$46,0)</f>
        <v>6.5999999999999948E-2</v>
      </c>
      <c r="E102" s="178">
        <f>IF(E$69&lt;&gt;0,E69/E$46,0)</f>
        <v>0</v>
      </c>
      <c r="F102" s="178">
        <f>IF(F$25&gt;0,F69/F$46,0)</f>
        <v>0</v>
      </c>
      <c r="G102" s="178">
        <f>IF(G$69&lt;&gt;0,G69/G$46,0)</f>
        <v>0</v>
      </c>
      <c r="H102" s="178">
        <f>IF(H$69&lt;&gt;0,H69/H$46,0)</f>
        <v>6.5999999999999948E-2</v>
      </c>
    </row>
    <row r="103" spans="2:8" x14ac:dyDescent="0.2">
      <c r="B103" s="172" t="s">
        <v>72</v>
      </c>
      <c r="C103" s="172"/>
      <c r="D103" s="178">
        <f>IF(D$69&lt;&gt;0,1-D102,0)</f>
        <v>0.93400000000000005</v>
      </c>
      <c r="E103" s="178">
        <f t="shared" ref="E103:H103" si="10">IF(E$69&lt;&gt;0,1-E102,0)</f>
        <v>0</v>
      </c>
      <c r="F103" s="178">
        <f t="shared" si="10"/>
        <v>0</v>
      </c>
      <c r="G103" s="178">
        <f t="shared" si="10"/>
        <v>0</v>
      </c>
      <c r="H103" s="178">
        <f t="shared" si="10"/>
        <v>0.93400000000000005</v>
      </c>
    </row>
    <row r="104" spans="2:8" x14ac:dyDescent="0.2">
      <c r="B104" s="134"/>
      <c r="C104" s="134"/>
      <c r="D104" s="137"/>
      <c r="E104" s="137"/>
      <c r="F104" s="137"/>
      <c r="G104" s="137"/>
      <c r="H104" s="137"/>
    </row>
    <row r="105" spans="2:8" x14ac:dyDescent="0.2">
      <c r="B105" s="180" t="s">
        <v>57</v>
      </c>
      <c r="C105" s="180"/>
      <c r="D105" s="186" t="e">
        <f>+#REF!</f>
        <v>#REF!</v>
      </c>
      <c r="E105" s="186" t="e">
        <f>+#REF!</f>
        <v>#REF!</v>
      </c>
      <c r="F105" s="186" t="e">
        <f>+#REF!</f>
        <v>#REF!</v>
      </c>
      <c r="G105" s="186" t="e">
        <f>+#REF!</f>
        <v>#REF!</v>
      </c>
      <c r="H105" s="186" t="e">
        <f>+#REF!</f>
        <v>#REF!</v>
      </c>
    </row>
    <row r="106" spans="2:8" x14ac:dyDescent="0.2">
      <c r="B106" s="180" t="s">
        <v>58</v>
      </c>
      <c r="C106" s="180"/>
      <c r="D106" s="186" t="e">
        <f>IF(D$69&lt;&gt;0,1-D105,0)</f>
        <v>#REF!</v>
      </c>
      <c r="E106" s="186">
        <f t="shared" ref="E106:H106" si="11">IF(E$69&lt;&gt;0,1-E105,0)</f>
        <v>0</v>
      </c>
      <c r="F106" s="186">
        <f t="shared" si="11"/>
        <v>0</v>
      </c>
      <c r="G106" s="186">
        <f t="shared" si="11"/>
        <v>0</v>
      </c>
      <c r="H106" s="186" t="e">
        <f t="shared" si="11"/>
        <v>#REF!</v>
      </c>
    </row>
    <row r="107" spans="2:8" x14ac:dyDescent="0.2">
      <c r="B107" s="134"/>
      <c r="C107" s="134"/>
      <c r="D107" s="137"/>
      <c r="E107" s="137"/>
      <c r="F107" s="137"/>
      <c r="G107" s="137"/>
      <c r="H107" s="137"/>
    </row>
    <row r="108" spans="2:8" hidden="1" x14ac:dyDescent="0.2">
      <c r="B108" s="187" t="s">
        <v>73</v>
      </c>
      <c r="C108" s="172"/>
      <c r="D108" s="178">
        <f t="shared" ref="D108:H109" si="12">+D40</f>
        <v>0</v>
      </c>
      <c r="E108" s="178" t="str">
        <f t="shared" si="12"/>
        <v xml:space="preserve"> </v>
      </c>
      <c r="F108" s="178" t="str">
        <f t="shared" si="12"/>
        <v xml:space="preserve"> </v>
      </c>
      <c r="G108" s="178" t="str">
        <f t="shared" si="12"/>
        <v xml:space="preserve"> </v>
      </c>
      <c r="H108" s="178">
        <f t="shared" si="12"/>
        <v>0</v>
      </c>
    </row>
    <row r="109" spans="2:8" hidden="1" x14ac:dyDescent="0.2">
      <c r="B109" s="188" t="s">
        <v>74</v>
      </c>
      <c r="C109" s="180"/>
      <c r="D109" s="186" t="e">
        <f t="shared" si="12"/>
        <v>#REF!</v>
      </c>
      <c r="E109" s="186" t="e">
        <f t="shared" si="12"/>
        <v>#REF!</v>
      </c>
      <c r="F109" s="186" t="e">
        <f t="shared" si="12"/>
        <v>#REF!</v>
      </c>
      <c r="G109" s="186" t="e">
        <f t="shared" si="12"/>
        <v>#REF!</v>
      </c>
      <c r="H109" s="186" t="e">
        <f t="shared" si="12"/>
        <v>#REF!</v>
      </c>
    </row>
    <row r="110" spans="2:8" ht="15.6" hidden="1" customHeight="1" x14ac:dyDescent="0.25">
      <c r="B110" s="324" t="str">
        <f>IF(H108&gt;25%,"Een gedeelte van de maandelijkse kosten is dus het gevolg van het uurtarief van de kinderopvangorganisatie dat hoger is dan de maximale uurtariefvergoeding. Heb je wel eens een vergelijk gemaakt met de tarieven van een andere organisatie?"," ")</f>
        <v xml:space="preserve"> </v>
      </c>
      <c r="C110" s="324"/>
      <c r="D110" s="324"/>
      <c r="E110" s="324"/>
      <c r="F110" s="324"/>
      <c r="G110" s="324"/>
      <c r="H110" s="324"/>
    </row>
    <row r="111" spans="2:8" ht="15.6" customHeight="1" x14ac:dyDescent="0.2">
      <c r="B111" s="325" t="s">
        <v>50</v>
      </c>
      <c r="C111" s="326"/>
      <c r="D111" s="326"/>
      <c r="E111" s="326"/>
      <c r="F111" s="326"/>
      <c r="G111" s="326"/>
      <c r="H111" s="327"/>
    </row>
    <row r="112" spans="2:8" ht="13.9" customHeight="1" x14ac:dyDescent="0.2">
      <c r="B112" s="328"/>
      <c r="C112" s="324"/>
      <c r="D112" s="324"/>
      <c r="E112" s="324"/>
      <c r="F112" s="324"/>
      <c r="G112" s="324"/>
      <c r="H112" s="329"/>
    </row>
    <row r="113" spans="2:8" x14ac:dyDescent="0.2">
      <c r="B113" s="129"/>
      <c r="C113" s="129"/>
      <c r="D113" s="129"/>
      <c r="E113" s="129"/>
      <c r="F113" s="129"/>
      <c r="G113" s="129"/>
      <c r="H113" s="10"/>
    </row>
    <row r="114" spans="2:8" x14ac:dyDescent="0.2">
      <c r="B114" s="141" t="s">
        <v>20</v>
      </c>
      <c r="C114" s="142"/>
      <c r="D114" s="142"/>
      <c r="E114" s="143" t="s">
        <v>33</v>
      </c>
      <c r="F114" s="142"/>
      <c r="G114" s="142"/>
      <c r="H114" s="144"/>
    </row>
    <row r="115" spans="2:8" x14ac:dyDescent="0.2">
      <c r="B115" s="145" t="s">
        <v>21</v>
      </c>
      <c r="C115" s="152"/>
      <c r="D115" s="152"/>
      <c r="E115" s="146" t="s">
        <v>34</v>
      </c>
      <c r="F115" s="152"/>
      <c r="G115" s="152"/>
      <c r="H115" s="147"/>
    </row>
    <row r="116" spans="2:8" x14ac:dyDescent="0.2">
      <c r="B116" s="145" t="s">
        <v>28</v>
      </c>
      <c r="C116" s="152"/>
      <c r="D116" s="152"/>
      <c r="E116" s="148" t="s">
        <v>35</v>
      </c>
      <c r="F116" s="152"/>
      <c r="G116" s="152"/>
      <c r="H116" s="38"/>
    </row>
    <row r="117" spans="2:8" x14ac:dyDescent="0.2">
      <c r="B117" s="149" t="s">
        <v>31</v>
      </c>
      <c r="C117" s="150"/>
      <c r="D117" s="150"/>
      <c r="E117" s="151" t="s">
        <v>32</v>
      </c>
      <c r="F117" s="150"/>
      <c r="G117" s="150"/>
      <c r="H117" s="42"/>
    </row>
    <row r="118" spans="2:8" hidden="1" x14ac:dyDescent="0.2">
      <c r="B118" s="149" t="s">
        <v>44</v>
      </c>
      <c r="C118" s="150"/>
      <c r="D118" s="150"/>
      <c r="E118" s="151" t="s">
        <v>43</v>
      </c>
      <c r="F118" s="150"/>
      <c r="G118" s="150"/>
      <c r="H118" s="42"/>
    </row>
    <row r="119" spans="2:8" ht="28.15" customHeight="1" x14ac:dyDescent="0.25">
      <c r="B119" s="315" t="s">
        <v>42</v>
      </c>
      <c r="C119" s="315"/>
      <c r="D119" s="315"/>
      <c r="E119" s="315"/>
      <c r="F119" s="315"/>
      <c r="G119" s="315"/>
      <c r="H119" s="315"/>
    </row>
    <row r="120" spans="2:8" x14ac:dyDescent="0.2">
      <c r="B120" s="316" t="s">
        <v>81</v>
      </c>
      <c r="C120" s="316"/>
      <c r="D120" s="316"/>
      <c r="E120" s="316"/>
      <c r="F120" s="316"/>
      <c r="G120" s="316"/>
      <c r="H120" s="316"/>
    </row>
  </sheetData>
  <mergeCells count="20">
    <mergeCell ref="B72:C72"/>
    <mergeCell ref="B1:H1"/>
    <mergeCell ref="B2:H2"/>
    <mergeCell ref="B3:H3"/>
    <mergeCell ref="B4:H4"/>
    <mergeCell ref="B6:H9"/>
    <mergeCell ref="B10:H10"/>
    <mergeCell ref="C12:E12"/>
    <mergeCell ref="C13:E13"/>
    <mergeCell ref="C14:E14"/>
    <mergeCell ref="B56:H58"/>
    <mergeCell ref="B60:C60"/>
    <mergeCell ref="B119:H119"/>
    <mergeCell ref="B120:H120"/>
    <mergeCell ref="B83:H84"/>
    <mergeCell ref="B85:H85"/>
    <mergeCell ref="B86:H86"/>
    <mergeCell ref="B99:H100"/>
    <mergeCell ref="B110:H110"/>
    <mergeCell ref="B111:H112"/>
  </mergeCells>
  <dataValidations count="3">
    <dataValidation type="decimal" allowBlank="1" showInputMessage="1" showErrorMessage="1" errorTitle="Fout" error="Voer een uurtarief in tussen 5,00 en 25,00" promptTitle="Voer het uurtarief" prompt="Voer het uurtarief in wat de _x000a_organisatie in rekening brengt_x000a_" sqref="D27:G28">
      <formula1>5</formula1>
      <formula2>25</formula2>
    </dataValidation>
    <dataValidation type="decimal" allowBlank="1" showInputMessage="1" showErrorMessage="1" errorTitle="Fout" error="Voer hier de kinderopvanguren in , een getal tussen 0 en 260" promptTitle="Voer aantal maanduren in" prompt="Voer hier het aantal kinderopvang uren per maand in welke door de organisatie in rekening wordt gebracht_x000a_" sqref="D25:G26">
      <formula1>0</formula1>
      <formula2>260</formula2>
    </dataValidation>
    <dataValidation type="whole" errorStyle="information" allowBlank="1" showInputMessage="1" showErrorMessage="1" errorTitle="Foutmelding" error="Een heel getal tussen 0 en 999.999" sqref="C19:C20">
      <formula1>0</formula1>
      <formula2>999999</formula2>
    </dataValidation>
  </dataValidations>
  <hyperlinks>
    <hyperlink ref="B3:H3" r:id="rId1" display="https://www.kinderopvang-wijzer.nl/"/>
    <hyperlink ref="E118" r:id="rId2"/>
    <hyperlink ref="E117" r:id="rId3"/>
    <hyperlink ref="E116" r:id="rId4"/>
    <hyperlink ref="E115" r:id="rId5"/>
    <hyperlink ref="B3" r:id="rId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Selecteer opvangvorm" prompt="Selecteer opvangvorm KDV (kinderdagverblijf), BSO (buitenschoolse opvang) of Gastouderopvang">
          <x14:formula1>
            <xm:f>basisinfo2025!$A$1:$A$3</xm:f>
          </x14:formula1>
          <xm:sqref>D24:G24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10" sqref="C10"/>
    </sheetView>
  </sheetViews>
  <sheetFormatPr defaultRowHeight="15" x14ac:dyDescent="0.25"/>
  <cols>
    <col min="1" max="1" width="13.7109375" bestFit="1" customWidth="1"/>
  </cols>
  <sheetData>
    <row r="1" spans="1:6" x14ac:dyDescent="0.25">
      <c r="A1" t="s">
        <v>22</v>
      </c>
      <c r="D1" s="1">
        <v>10.25</v>
      </c>
      <c r="F1" s="2"/>
    </row>
    <row r="2" spans="1:6" x14ac:dyDescent="0.25">
      <c r="A2" t="s">
        <v>23</v>
      </c>
      <c r="D2" s="1">
        <v>9.1199999999999992</v>
      </c>
      <c r="F2" s="2"/>
    </row>
    <row r="3" spans="1:6" x14ac:dyDescent="0.25">
      <c r="A3" t="s">
        <v>30</v>
      </c>
      <c r="D3" s="1">
        <v>7.53</v>
      </c>
      <c r="F3" s="2"/>
    </row>
    <row r="9" spans="1:6" ht="16.5" x14ac:dyDescent="0.3">
      <c r="C9" s="4" t="s">
        <v>3</v>
      </c>
      <c r="D9" s="4" t="s">
        <v>4</v>
      </c>
      <c r="E9" s="4" t="s">
        <v>5</v>
      </c>
      <c r="F9" s="4" t="s">
        <v>6</v>
      </c>
    </row>
    <row r="10" spans="1:6" x14ac:dyDescent="0.25">
      <c r="B10" t="s">
        <v>22</v>
      </c>
      <c r="C10" s="1">
        <f>IF(Berekening2025!D$24=basisinfo2025!$B10,+$D1,0)</f>
        <v>10.25</v>
      </c>
      <c r="D10" s="1">
        <f>IF(Berekening2025!E$24=basisinfo2025!$B10,+$D1,0)</f>
        <v>0</v>
      </c>
      <c r="E10" s="1">
        <f>IF(Berekening2025!F$24=basisinfo2025!$B10,+$D1,0)</f>
        <v>0</v>
      </c>
      <c r="F10" s="1">
        <f>IF(Berekening2025!G$24=basisinfo2025!$B10,+$D1,0)</f>
        <v>0</v>
      </c>
    </row>
    <row r="11" spans="1:6" x14ac:dyDescent="0.25">
      <c r="B11" t="s">
        <v>23</v>
      </c>
      <c r="C11" s="1">
        <f>IF(Berekening2025!D$24=basisinfo2025!$B11,+$D2,0)</f>
        <v>0</v>
      </c>
      <c r="D11" s="1">
        <f>IF(Berekening2025!E$24=basisinfo2025!$B11,+$D2,0)</f>
        <v>0</v>
      </c>
      <c r="E11" s="1">
        <f>IF(Berekening2025!F$24=basisinfo2025!$B11,+$D2,0)</f>
        <v>0</v>
      </c>
      <c r="F11" s="1">
        <f>IF(Berekening2025!G$24=basisinfo2025!$B11,+$D2,0)</f>
        <v>0</v>
      </c>
    </row>
    <row r="12" spans="1:6" x14ac:dyDescent="0.25">
      <c r="B12" t="s">
        <v>30</v>
      </c>
      <c r="C12" s="1">
        <f>IF(Berekening2025!D$24=basisinfo2025!$B12,+$D3,0)</f>
        <v>0</v>
      </c>
      <c r="D12" s="1">
        <f>IF(Berekening2025!E$24=basisinfo2025!$B12,+$D3,0)</f>
        <v>7.53</v>
      </c>
      <c r="E12" s="1">
        <f>IF(Berekening2025!F$24=basisinfo2025!$B12,+$D3,0)</f>
        <v>7.53</v>
      </c>
      <c r="F12" s="1">
        <f>IF(Berekening2025!G$24=basisinfo2025!$B12,+$D3,0)</f>
        <v>7.53</v>
      </c>
    </row>
    <row r="13" spans="1:6" x14ac:dyDescent="0.25">
      <c r="A13" t="s">
        <v>29</v>
      </c>
      <c r="C13" s="5">
        <f>SUM(C10:C12)</f>
        <v>10.25</v>
      </c>
      <c r="D13" s="5">
        <f t="shared" ref="D13:F13" si="0">SUM(D10:D12)</f>
        <v>7.53</v>
      </c>
      <c r="E13" s="5">
        <f t="shared" si="0"/>
        <v>7.53</v>
      </c>
      <c r="F13" s="5">
        <f t="shared" si="0"/>
        <v>7.53</v>
      </c>
    </row>
    <row r="14" spans="1:6" x14ac:dyDescent="0.25">
      <c r="C14" s="6"/>
      <c r="D14" s="6"/>
      <c r="E14" s="6"/>
      <c r="F14" s="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topLeftCell="A21" workbookViewId="0">
      <selection activeCell="G34" sqref="G34"/>
    </sheetView>
  </sheetViews>
  <sheetFormatPr defaultRowHeight="15" x14ac:dyDescent="0.25"/>
  <cols>
    <col min="1" max="2" width="15.7109375" style="3" customWidth="1"/>
    <col min="3" max="4" width="15.7109375" style="2" customWidth="1"/>
  </cols>
  <sheetData>
    <row r="1" spans="1:7" ht="60" x14ac:dyDescent="0.25">
      <c r="A1" s="114" t="s">
        <v>14</v>
      </c>
      <c r="B1" s="114" t="s">
        <v>0</v>
      </c>
      <c r="C1" s="115" t="s">
        <v>1</v>
      </c>
      <c r="D1" s="115" t="s">
        <v>2</v>
      </c>
    </row>
    <row r="2" spans="1:7" x14ac:dyDescent="0.25">
      <c r="A2" s="7">
        <v>0</v>
      </c>
      <c r="B2" s="8">
        <v>22346</v>
      </c>
      <c r="C2" s="2">
        <v>96</v>
      </c>
      <c r="D2" s="2">
        <v>96</v>
      </c>
    </row>
    <row r="3" spans="1:7" x14ac:dyDescent="0.25">
      <c r="A3" s="8">
        <v>22347</v>
      </c>
      <c r="B3" s="8">
        <v>23834</v>
      </c>
      <c r="C3" s="2">
        <v>96</v>
      </c>
      <c r="D3" s="2">
        <v>96</v>
      </c>
    </row>
    <row r="4" spans="1:7" x14ac:dyDescent="0.25">
      <c r="A4" s="8">
        <v>23835</v>
      </c>
      <c r="B4" s="8">
        <v>25320</v>
      </c>
      <c r="C4" s="2">
        <v>96</v>
      </c>
      <c r="D4" s="2">
        <v>96</v>
      </c>
      <c r="G4" s="128">
        <f>(A4/A3-1)*100</f>
        <v>6.6586118942139949</v>
      </c>
    </row>
    <row r="5" spans="1:7" x14ac:dyDescent="0.25">
      <c r="A5" s="8">
        <v>25321</v>
      </c>
      <c r="B5" s="8">
        <v>26810</v>
      </c>
      <c r="C5" s="2">
        <v>96</v>
      </c>
      <c r="D5" s="2">
        <v>96</v>
      </c>
      <c r="G5" s="128">
        <f t="shared" ref="G5:G68" si="0">(A5/A4-1)*100</f>
        <v>6.2345290539123077</v>
      </c>
    </row>
    <row r="6" spans="1:7" x14ac:dyDescent="0.25">
      <c r="A6" s="8">
        <v>26811</v>
      </c>
      <c r="B6" s="8">
        <v>28297</v>
      </c>
      <c r="C6" s="2">
        <v>96</v>
      </c>
      <c r="D6" s="2">
        <v>96</v>
      </c>
      <c r="G6" s="128">
        <f t="shared" si="0"/>
        <v>5.8844437423482443</v>
      </c>
    </row>
    <row r="7" spans="1:7" x14ac:dyDescent="0.25">
      <c r="A7" s="8">
        <v>28298</v>
      </c>
      <c r="B7" s="8">
        <v>29786</v>
      </c>
      <c r="C7" s="2">
        <v>95.5</v>
      </c>
      <c r="D7" s="2">
        <v>95.6</v>
      </c>
      <c r="G7" s="128">
        <f t="shared" si="0"/>
        <v>5.5462310245794733</v>
      </c>
    </row>
    <row r="8" spans="1:7" x14ac:dyDescent="0.25">
      <c r="A8" s="8">
        <v>29787</v>
      </c>
      <c r="B8" s="8">
        <v>31273</v>
      </c>
      <c r="C8" s="2">
        <v>94.399999999999991</v>
      </c>
      <c r="D8" s="2">
        <v>95.399999999999991</v>
      </c>
      <c r="G8" s="128">
        <f t="shared" si="0"/>
        <v>5.2618559615520422</v>
      </c>
    </row>
    <row r="9" spans="1:7" x14ac:dyDescent="0.25">
      <c r="A9" s="8">
        <v>31274</v>
      </c>
      <c r="B9" s="8">
        <v>32757</v>
      </c>
      <c r="C9" s="2">
        <v>93.4</v>
      </c>
      <c r="D9" s="2">
        <v>95.199999999999989</v>
      </c>
      <c r="G9" s="128">
        <f t="shared" si="0"/>
        <v>4.9921106522979874</v>
      </c>
    </row>
    <row r="10" spans="1:7" x14ac:dyDescent="0.25">
      <c r="A10" s="8">
        <v>32758</v>
      </c>
      <c r="B10" s="8">
        <v>34357</v>
      </c>
      <c r="C10" s="2">
        <v>92.5</v>
      </c>
      <c r="D10" s="2">
        <v>95</v>
      </c>
      <c r="G10" s="128">
        <f t="shared" si="0"/>
        <v>4.7451557204067241</v>
      </c>
    </row>
    <row r="11" spans="1:7" x14ac:dyDescent="0.25">
      <c r="A11" s="8">
        <v>34358</v>
      </c>
      <c r="B11" s="8">
        <v>35955</v>
      </c>
      <c r="C11" s="2">
        <v>91.9</v>
      </c>
      <c r="D11" s="2">
        <v>94.899999999999991</v>
      </c>
      <c r="G11" s="128">
        <f t="shared" si="0"/>
        <v>4.8843030710055579</v>
      </c>
    </row>
    <row r="12" spans="1:7" x14ac:dyDescent="0.25">
      <c r="A12" s="8">
        <v>35956</v>
      </c>
      <c r="B12" s="8">
        <v>37557</v>
      </c>
      <c r="C12" s="2">
        <v>90.9</v>
      </c>
      <c r="D12" s="2">
        <v>94.699999999999989</v>
      </c>
      <c r="G12" s="128">
        <f t="shared" si="0"/>
        <v>4.651027417195408</v>
      </c>
    </row>
    <row r="13" spans="1:7" x14ac:dyDescent="0.25">
      <c r="A13" s="8">
        <v>37558</v>
      </c>
      <c r="B13" s="8">
        <v>39155</v>
      </c>
      <c r="C13" s="2">
        <v>90.4</v>
      </c>
      <c r="D13" s="2">
        <v>94.5</v>
      </c>
      <c r="G13" s="128">
        <f t="shared" si="0"/>
        <v>4.4554455445544594</v>
      </c>
    </row>
    <row r="14" spans="1:7" x14ac:dyDescent="0.25">
      <c r="A14" s="8">
        <v>39156</v>
      </c>
      <c r="B14" s="8">
        <v>40759</v>
      </c>
      <c r="C14" s="2">
        <v>89.5</v>
      </c>
      <c r="D14" s="2">
        <v>94.5</v>
      </c>
      <c r="G14" s="128">
        <f t="shared" si="0"/>
        <v>4.2547526492358489</v>
      </c>
    </row>
    <row r="15" spans="1:7" x14ac:dyDescent="0.25">
      <c r="A15" s="8">
        <v>40760</v>
      </c>
      <c r="B15" s="8">
        <v>42359</v>
      </c>
      <c r="C15" s="2">
        <v>88.7</v>
      </c>
      <c r="D15" s="2">
        <v>94.5</v>
      </c>
      <c r="G15" s="128">
        <f t="shared" si="0"/>
        <v>4.0964347737256102</v>
      </c>
    </row>
    <row r="16" spans="1:7" x14ac:dyDescent="0.25">
      <c r="A16" s="8">
        <v>42360</v>
      </c>
      <c r="B16" s="8">
        <v>43997</v>
      </c>
      <c r="C16" s="2">
        <v>88.1</v>
      </c>
      <c r="D16" s="2">
        <v>94.5</v>
      </c>
      <c r="G16" s="128">
        <f t="shared" si="0"/>
        <v>3.9254170755642859</v>
      </c>
    </row>
    <row r="17" spans="1:7" x14ac:dyDescent="0.25">
      <c r="A17" s="8">
        <v>43998</v>
      </c>
      <c r="B17" s="8">
        <v>45637</v>
      </c>
      <c r="C17" s="2">
        <v>87.3</v>
      </c>
      <c r="D17" s="2">
        <v>94.5</v>
      </c>
      <c r="G17" s="128">
        <f t="shared" si="0"/>
        <v>3.8668555240793268</v>
      </c>
    </row>
    <row r="18" spans="1:7" x14ac:dyDescent="0.25">
      <c r="A18" s="8">
        <v>45638</v>
      </c>
      <c r="B18" s="8">
        <v>47278</v>
      </c>
      <c r="C18" s="2">
        <v>86.6</v>
      </c>
      <c r="D18" s="2">
        <v>94.5</v>
      </c>
      <c r="G18" s="128">
        <f t="shared" si="0"/>
        <v>3.7274421564616578</v>
      </c>
    </row>
    <row r="19" spans="1:7" x14ac:dyDescent="0.25">
      <c r="A19" s="8">
        <v>47279</v>
      </c>
      <c r="B19" s="8">
        <v>48918</v>
      </c>
      <c r="C19" s="2">
        <v>85.9</v>
      </c>
      <c r="D19" s="2">
        <v>94.5</v>
      </c>
      <c r="G19" s="128">
        <f t="shared" si="0"/>
        <v>3.5956878040229734</v>
      </c>
    </row>
    <row r="20" spans="1:7" x14ac:dyDescent="0.25">
      <c r="A20" s="8">
        <v>48919</v>
      </c>
      <c r="B20" s="8">
        <v>50562</v>
      </c>
      <c r="C20" s="2">
        <v>85</v>
      </c>
      <c r="D20" s="2">
        <v>94.5</v>
      </c>
      <c r="G20" s="128">
        <f t="shared" si="0"/>
        <v>3.4687704900695948</v>
      </c>
    </row>
    <row r="21" spans="1:7" x14ac:dyDescent="0.25">
      <c r="A21" s="8">
        <v>50563</v>
      </c>
      <c r="B21" s="8">
        <v>52201</v>
      </c>
      <c r="C21" s="2">
        <v>84.5</v>
      </c>
      <c r="D21" s="2">
        <v>94.5</v>
      </c>
      <c r="G21" s="128">
        <f t="shared" si="0"/>
        <v>3.3606574132750033</v>
      </c>
    </row>
    <row r="22" spans="1:7" x14ac:dyDescent="0.25">
      <c r="A22" s="8">
        <v>52202</v>
      </c>
      <c r="B22" s="8">
        <v>53841</v>
      </c>
      <c r="C22" s="2">
        <v>83.7</v>
      </c>
      <c r="D22" s="2">
        <v>94.5</v>
      </c>
      <c r="G22" s="128">
        <f t="shared" si="0"/>
        <v>3.2415007020944131</v>
      </c>
    </row>
    <row r="23" spans="1:7" x14ac:dyDescent="0.25">
      <c r="A23" s="8">
        <v>53842</v>
      </c>
      <c r="B23" s="8">
        <v>55482</v>
      </c>
      <c r="C23" s="2">
        <v>83</v>
      </c>
      <c r="D23" s="2">
        <v>94.5</v>
      </c>
      <c r="G23" s="128">
        <f t="shared" si="0"/>
        <v>3.1416420826788194</v>
      </c>
    </row>
    <row r="24" spans="1:7" x14ac:dyDescent="0.25">
      <c r="A24" s="8">
        <v>55483</v>
      </c>
      <c r="B24" s="8">
        <v>57275</v>
      </c>
      <c r="C24" s="2">
        <v>82.1</v>
      </c>
      <c r="D24" s="2">
        <v>94.5</v>
      </c>
      <c r="G24" s="128">
        <f t="shared" si="0"/>
        <v>3.0478065450763259</v>
      </c>
    </row>
    <row r="25" spans="1:7" x14ac:dyDescent="0.25">
      <c r="A25" s="8">
        <v>57276</v>
      </c>
      <c r="B25" s="8">
        <v>60791</v>
      </c>
      <c r="C25" s="2">
        <v>80.600000000000009</v>
      </c>
      <c r="D25" s="2">
        <v>94.5</v>
      </c>
      <c r="G25" s="128">
        <f t="shared" si="0"/>
        <v>3.2316204963682482</v>
      </c>
    </row>
    <row r="26" spans="1:7" x14ac:dyDescent="0.25">
      <c r="A26" s="8">
        <v>60792</v>
      </c>
      <c r="B26" s="8">
        <v>64305</v>
      </c>
      <c r="C26" s="2">
        <v>79.800000000000011</v>
      </c>
      <c r="D26" s="2">
        <v>94.1</v>
      </c>
      <c r="G26" s="128">
        <f t="shared" si="0"/>
        <v>6.1386968363712491</v>
      </c>
    </row>
    <row r="27" spans="1:7" x14ac:dyDescent="0.25">
      <c r="A27" s="8">
        <v>64306</v>
      </c>
      <c r="B27" s="8">
        <v>67821</v>
      </c>
      <c r="C27" s="2">
        <v>78.7</v>
      </c>
      <c r="D27" s="2">
        <v>93.5</v>
      </c>
      <c r="G27" s="128">
        <f t="shared" si="0"/>
        <v>5.7803658376102129</v>
      </c>
    </row>
    <row r="28" spans="1:7" x14ac:dyDescent="0.25">
      <c r="A28" s="8">
        <v>67822</v>
      </c>
      <c r="B28" s="8">
        <v>71339</v>
      </c>
      <c r="C28" s="2">
        <v>76.400000000000006</v>
      </c>
      <c r="D28" s="2">
        <v>93.100000000000009</v>
      </c>
      <c r="G28" s="128">
        <f t="shared" si="0"/>
        <v>5.4676079992535653</v>
      </c>
    </row>
    <row r="29" spans="1:7" x14ac:dyDescent="0.25">
      <c r="A29" s="8">
        <v>71340</v>
      </c>
      <c r="B29" s="8">
        <v>74853</v>
      </c>
      <c r="C29" s="2">
        <v>74.099999999999994</v>
      </c>
      <c r="D29" s="2">
        <v>92.800000000000011</v>
      </c>
      <c r="G29" s="128">
        <f t="shared" si="0"/>
        <v>5.1871074282681118</v>
      </c>
    </row>
    <row r="30" spans="1:7" x14ac:dyDescent="0.25">
      <c r="A30" s="8">
        <v>74854</v>
      </c>
      <c r="B30" s="8">
        <v>78371</v>
      </c>
      <c r="C30" s="2">
        <v>71.899999999999991</v>
      </c>
      <c r="D30" s="2">
        <v>92.100000000000009</v>
      </c>
      <c r="G30" s="128">
        <f t="shared" si="0"/>
        <v>4.925707877768426</v>
      </c>
    </row>
    <row r="31" spans="1:7" x14ac:dyDescent="0.25">
      <c r="A31" s="8">
        <v>78372</v>
      </c>
      <c r="B31" s="8">
        <v>81886</v>
      </c>
      <c r="C31" s="2">
        <v>69.399999999999991</v>
      </c>
      <c r="D31" s="2">
        <v>91.600000000000009</v>
      </c>
      <c r="G31" s="128">
        <f t="shared" si="0"/>
        <v>4.6998156411147018</v>
      </c>
    </row>
    <row r="32" spans="1:7" x14ac:dyDescent="0.25">
      <c r="A32" s="8">
        <v>81887</v>
      </c>
      <c r="B32" s="8">
        <v>85402</v>
      </c>
      <c r="C32" s="2">
        <v>67.100000000000009</v>
      </c>
      <c r="D32" s="2">
        <v>91.100000000000009</v>
      </c>
      <c r="G32" s="128">
        <f t="shared" si="0"/>
        <v>4.4850201602613105</v>
      </c>
    </row>
    <row r="33" spans="1:7" x14ac:dyDescent="0.25">
      <c r="A33" s="8">
        <v>85403</v>
      </c>
      <c r="B33" s="8">
        <v>88919</v>
      </c>
      <c r="C33" s="2">
        <v>64.900000000000006</v>
      </c>
      <c r="D33" s="2">
        <v>90.4</v>
      </c>
      <c r="G33" s="128">
        <f t="shared" si="0"/>
        <v>4.2937218361889018</v>
      </c>
    </row>
    <row r="34" spans="1:7" x14ac:dyDescent="0.25">
      <c r="A34" s="8">
        <v>88920</v>
      </c>
      <c r="B34" s="8">
        <v>92433</v>
      </c>
      <c r="C34" s="2">
        <v>62.5</v>
      </c>
      <c r="D34" s="2">
        <v>89.8</v>
      </c>
      <c r="G34" s="128">
        <f t="shared" si="0"/>
        <v>4.1181223142044088</v>
      </c>
    </row>
    <row r="35" spans="1:7" x14ac:dyDescent="0.25">
      <c r="A35" s="8">
        <v>92434</v>
      </c>
      <c r="B35" s="8">
        <v>95954</v>
      </c>
      <c r="C35" s="2">
        <v>60.3</v>
      </c>
      <c r="D35" s="2">
        <v>89.4</v>
      </c>
      <c r="G35" s="128">
        <f t="shared" si="0"/>
        <v>3.951866846603691</v>
      </c>
    </row>
    <row r="36" spans="1:7" x14ac:dyDescent="0.25">
      <c r="A36" s="8">
        <v>95955</v>
      </c>
      <c r="B36" s="8">
        <v>99469</v>
      </c>
      <c r="C36" s="2">
        <v>57.8</v>
      </c>
      <c r="D36" s="2">
        <v>89.1</v>
      </c>
      <c r="G36" s="128">
        <f t="shared" si="0"/>
        <v>3.8092044053054108</v>
      </c>
    </row>
    <row r="37" spans="1:7" x14ac:dyDescent="0.25">
      <c r="A37" s="8">
        <v>99470</v>
      </c>
      <c r="B37" s="8">
        <v>102983</v>
      </c>
      <c r="C37" s="2">
        <v>55.500000000000007</v>
      </c>
      <c r="D37" s="2">
        <v>88.4</v>
      </c>
      <c r="G37" s="128">
        <f t="shared" si="0"/>
        <v>3.6631754468240407</v>
      </c>
    </row>
    <row r="38" spans="1:7" x14ac:dyDescent="0.25">
      <c r="A38" s="8">
        <v>102984</v>
      </c>
      <c r="B38" s="8">
        <v>106499</v>
      </c>
      <c r="C38" s="2">
        <v>53.300000000000004</v>
      </c>
      <c r="D38" s="2">
        <v>88</v>
      </c>
      <c r="G38" s="128">
        <f t="shared" si="0"/>
        <v>3.532723434201257</v>
      </c>
    </row>
    <row r="39" spans="1:7" x14ac:dyDescent="0.25">
      <c r="A39" s="8">
        <v>106500</v>
      </c>
      <c r="B39" s="8">
        <v>110084</v>
      </c>
      <c r="C39" s="2">
        <v>50.9</v>
      </c>
      <c r="D39" s="2">
        <v>87.5</v>
      </c>
      <c r="G39" s="128">
        <f t="shared" si="0"/>
        <v>3.414122582148682</v>
      </c>
    </row>
    <row r="40" spans="1:7" x14ac:dyDescent="0.25">
      <c r="A40" s="8">
        <v>110085</v>
      </c>
      <c r="B40" s="8">
        <v>113686</v>
      </c>
      <c r="C40" s="2">
        <v>48.8</v>
      </c>
      <c r="D40" s="2">
        <v>86.8</v>
      </c>
      <c r="G40" s="128">
        <f t="shared" si="0"/>
        <v>3.3661971830985848</v>
      </c>
    </row>
    <row r="41" spans="1:7" x14ac:dyDescent="0.25">
      <c r="A41" s="8">
        <v>113687</v>
      </c>
      <c r="B41" s="8">
        <v>117286</v>
      </c>
      <c r="C41" s="2">
        <v>46.7</v>
      </c>
      <c r="D41" s="2">
        <v>86.3</v>
      </c>
      <c r="G41" s="128">
        <f t="shared" si="0"/>
        <v>3.2720170777126745</v>
      </c>
    </row>
    <row r="42" spans="1:7" x14ac:dyDescent="0.25">
      <c r="A42" s="8">
        <v>117287</v>
      </c>
      <c r="B42" s="8">
        <v>120887</v>
      </c>
      <c r="C42" s="2">
        <v>44.6</v>
      </c>
      <c r="D42" s="2">
        <v>85.9</v>
      </c>
      <c r="G42" s="128">
        <f t="shared" si="0"/>
        <v>3.1665889679558745</v>
      </c>
    </row>
    <row r="43" spans="1:7" x14ac:dyDescent="0.25">
      <c r="A43" s="8">
        <v>120888</v>
      </c>
      <c r="B43" s="8">
        <v>124485</v>
      </c>
      <c r="C43" s="2">
        <v>42.4</v>
      </c>
      <c r="D43" s="2">
        <v>85.6</v>
      </c>
      <c r="G43" s="128">
        <f t="shared" si="0"/>
        <v>3.0702464893807457</v>
      </c>
    </row>
    <row r="44" spans="1:7" x14ac:dyDescent="0.25">
      <c r="A44" s="8">
        <v>124486</v>
      </c>
      <c r="B44" s="8">
        <v>128088</v>
      </c>
      <c r="C44" s="2">
        <v>40.5</v>
      </c>
      <c r="D44" s="2">
        <v>84.899999999999991</v>
      </c>
      <c r="G44" s="128">
        <f t="shared" si="0"/>
        <v>2.9763086493282964</v>
      </c>
    </row>
    <row r="45" spans="1:7" x14ac:dyDescent="0.25">
      <c r="A45" s="8">
        <v>128089</v>
      </c>
      <c r="B45" s="8">
        <v>131690</v>
      </c>
      <c r="C45" s="2">
        <v>38.6</v>
      </c>
      <c r="D45" s="2">
        <v>84.3</v>
      </c>
      <c r="G45" s="128">
        <f t="shared" si="0"/>
        <v>2.8943013672220186</v>
      </c>
    </row>
    <row r="46" spans="1:7" x14ac:dyDescent="0.25">
      <c r="A46" s="8">
        <v>131691</v>
      </c>
      <c r="B46" s="8">
        <v>135292</v>
      </c>
      <c r="C46" s="2">
        <v>36.700000000000003</v>
      </c>
      <c r="D46" s="2">
        <v>83.899999999999991</v>
      </c>
      <c r="G46" s="128">
        <f t="shared" si="0"/>
        <v>2.8121072067078368</v>
      </c>
    </row>
    <row r="47" spans="1:7" x14ac:dyDescent="0.25">
      <c r="A47" s="8">
        <v>135293</v>
      </c>
      <c r="B47" s="8">
        <v>138889</v>
      </c>
      <c r="C47" s="2">
        <v>34.699999999999996</v>
      </c>
      <c r="D47" s="2">
        <v>83.3</v>
      </c>
      <c r="G47" s="128">
        <f t="shared" si="0"/>
        <v>2.7351907115900076</v>
      </c>
    </row>
    <row r="48" spans="1:7" x14ac:dyDescent="0.25">
      <c r="A48" s="8">
        <v>138890</v>
      </c>
      <c r="B48" s="8">
        <v>142489</v>
      </c>
      <c r="C48" s="2">
        <v>33.300000000000004</v>
      </c>
      <c r="D48" s="2">
        <v>82.899999999999991</v>
      </c>
      <c r="G48" s="128">
        <f t="shared" si="0"/>
        <v>2.6586741368733069</v>
      </c>
    </row>
    <row r="49" spans="1:7" x14ac:dyDescent="0.25">
      <c r="A49" s="8">
        <v>142490</v>
      </c>
      <c r="B49" s="8">
        <v>146092</v>
      </c>
      <c r="C49" s="2">
        <v>33.300000000000004</v>
      </c>
      <c r="D49" s="2">
        <v>82.199999999999989</v>
      </c>
      <c r="G49" s="128">
        <f t="shared" si="0"/>
        <v>2.5919792641658779</v>
      </c>
    </row>
    <row r="50" spans="1:7" x14ac:dyDescent="0.25">
      <c r="A50" s="8">
        <v>146093</v>
      </c>
      <c r="B50" s="8">
        <v>149691</v>
      </c>
      <c r="C50" s="2">
        <v>33.300000000000004</v>
      </c>
      <c r="D50" s="2">
        <v>81.599999999999994</v>
      </c>
      <c r="G50" s="128">
        <f t="shared" si="0"/>
        <v>2.5285984981402221</v>
      </c>
    </row>
    <row r="51" spans="1:7" x14ac:dyDescent="0.25">
      <c r="A51" s="8">
        <v>149692</v>
      </c>
      <c r="B51" s="8">
        <v>153292</v>
      </c>
      <c r="C51" s="2">
        <v>33.300000000000004</v>
      </c>
      <c r="D51" s="2">
        <v>80.600000000000009</v>
      </c>
      <c r="G51" s="128">
        <f t="shared" si="0"/>
        <v>2.4634992778572506</v>
      </c>
    </row>
    <row r="52" spans="1:7" x14ac:dyDescent="0.25">
      <c r="A52" s="8">
        <v>153293</v>
      </c>
      <c r="B52" s="8">
        <v>156891</v>
      </c>
      <c r="C52" s="2">
        <v>33.300000000000004</v>
      </c>
      <c r="D52" s="2">
        <v>80.300000000000011</v>
      </c>
      <c r="G52" s="128">
        <f t="shared" si="0"/>
        <v>2.4056061780188598</v>
      </c>
    </row>
    <row r="53" spans="1:7" x14ac:dyDescent="0.25">
      <c r="A53" s="8">
        <v>156892</v>
      </c>
      <c r="B53" s="8">
        <v>160494</v>
      </c>
      <c r="C53" s="2">
        <v>33.300000000000004</v>
      </c>
      <c r="D53" s="2">
        <v>79.5</v>
      </c>
      <c r="G53" s="128">
        <f t="shared" si="0"/>
        <v>2.3477914842817249</v>
      </c>
    </row>
    <row r="54" spans="1:7" x14ac:dyDescent="0.25">
      <c r="A54" s="8">
        <v>160495</v>
      </c>
      <c r="B54" s="8">
        <v>164098</v>
      </c>
      <c r="C54" s="2">
        <v>33.300000000000004</v>
      </c>
      <c r="D54" s="2">
        <v>78.600000000000009</v>
      </c>
      <c r="G54" s="128">
        <f t="shared" si="0"/>
        <v>2.2964842056956369</v>
      </c>
    </row>
    <row r="55" spans="1:7" x14ac:dyDescent="0.25">
      <c r="A55" s="8">
        <v>164099</v>
      </c>
      <c r="B55" s="8">
        <v>167696</v>
      </c>
      <c r="C55" s="2">
        <v>33.300000000000004</v>
      </c>
      <c r="D55" s="2">
        <v>78</v>
      </c>
      <c r="G55" s="128">
        <f t="shared" si="0"/>
        <v>2.2455528209601505</v>
      </c>
    </row>
    <row r="56" spans="1:7" x14ac:dyDescent="0.25">
      <c r="A56" s="8">
        <v>167697</v>
      </c>
      <c r="B56" s="8">
        <v>171297</v>
      </c>
      <c r="C56" s="2">
        <v>33.300000000000004</v>
      </c>
      <c r="D56" s="2">
        <v>77.100000000000009</v>
      </c>
      <c r="G56" s="128">
        <f t="shared" si="0"/>
        <v>2.192578870072337</v>
      </c>
    </row>
    <row r="57" spans="1:7" x14ac:dyDescent="0.25">
      <c r="A57" s="8">
        <v>171298</v>
      </c>
      <c r="B57" s="8">
        <v>174895</v>
      </c>
      <c r="C57" s="2">
        <v>33.300000000000004</v>
      </c>
      <c r="D57" s="2">
        <v>76.599999999999994</v>
      </c>
      <c r="G57" s="128">
        <f t="shared" si="0"/>
        <v>2.1473252353947814</v>
      </c>
    </row>
    <row r="58" spans="1:7" x14ac:dyDescent="0.25">
      <c r="A58" s="8">
        <v>174896</v>
      </c>
      <c r="B58" s="8">
        <v>178498</v>
      </c>
      <c r="C58" s="2">
        <v>33.300000000000004</v>
      </c>
      <c r="D58" s="2">
        <v>75.8</v>
      </c>
      <c r="G58" s="128">
        <f t="shared" si="0"/>
        <v>2.1004331632593409</v>
      </c>
    </row>
    <row r="59" spans="1:7" x14ac:dyDescent="0.25">
      <c r="A59" s="8">
        <v>178499</v>
      </c>
      <c r="B59" s="8">
        <v>182100</v>
      </c>
      <c r="C59" s="2">
        <v>33.300000000000004</v>
      </c>
      <c r="D59" s="2">
        <v>75.099999999999994</v>
      </c>
      <c r="G59" s="128">
        <f t="shared" si="0"/>
        <v>2.0600814198151962</v>
      </c>
    </row>
    <row r="60" spans="1:7" x14ac:dyDescent="0.25">
      <c r="A60" s="8">
        <v>182101</v>
      </c>
      <c r="B60" s="8">
        <v>185701</v>
      </c>
      <c r="C60" s="2">
        <v>33.300000000000004</v>
      </c>
      <c r="D60" s="2">
        <v>74.400000000000006</v>
      </c>
      <c r="G60" s="128">
        <f t="shared" si="0"/>
        <v>2.017938475845793</v>
      </c>
    </row>
    <row r="61" spans="1:7" x14ac:dyDescent="0.25">
      <c r="A61" s="8">
        <v>185702</v>
      </c>
      <c r="B61" s="8">
        <v>189301</v>
      </c>
      <c r="C61" s="2">
        <v>33.300000000000004</v>
      </c>
      <c r="D61" s="2">
        <v>73.400000000000006</v>
      </c>
      <c r="G61" s="128">
        <f t="shared" si="0"/>
        <v>1.9774740391321322</v>
      </c>
    </row>
    <row r="62" spans="1:7" x14ac:dyDescent="0.25">
      <c r="A62" s="8">
        <v>189302</v>
      </c>
      <c r="B62" s="8">
        <v>192898</v>
      </c>
      <c r="C62" s="2">
        <v>33.300000000000004</v>
      </c>
      <c r="D62" s="2">
        <v>72.899999999999991</v>
      </c>
      <c r="G62" s="128">
        <f t="shared" si="0"/>
        <v>1.9385897836318389</v>
      </c>
    </row>
    <row r="63" spans="1:7" x14ac:dyDescent="0.25">
      <c r="A63" s="8">
        <v>192899</v>
      </c>
      <c r="B63" s="8">
        <v>196502</v>
      </c>
      <c r="C63" s="2">
        <v>33.300000000000004</v>
      </c>
      <c r="D63" s="2">
        <v>72.2</v>
      </c>
      <c r="G63" s="128">
        <f t="shared" si="0"/>
        <v>1.9001384031864355</v>
      </c>
    </row>
    <row r="64" spans="1:7" x14ac:dyDescent="0.25">
      <c r="A64" s="8">
        <v>196503</v>
      </c>
      <c r="B64" s="8">
        <v>200101</v>
      </c>
      <c r="C64" s="2">
        <v>33.300000000000004</v>
      </c>
      <c r="D64" s="2">
        <v>71.399999999999991</v>
      </c>
      <c r="G64" s="128">
        <f t="shared" si="0"/>
        <v>1.8683352427954603</v>
      </c>
    </row>
    <row r="65" spans="1:7" x14ac:dyDescent="0.25">
      <c r="A65" s="8">
        <v>200102</v>
      </c>
      <c r="B65" s="8">
        <v>203703</v>
      </c>
      <c r="C65" s="2">
        <v>33.300000000000004</v>
      </c>
      <c r="D65" s="2">
        <v>70.7</v>
      </c>
      <c r="G65" s="128">
        <f t="shared" si="0"/>
        <v>1.8315242006483379</v>
      </c>
    </row>
    <row r="66" spans="1:7" x14ac:dyDescent="0.25">
      <c r="A66" s="8">
        <v>203704</v>
      </c>
      <c r="B66" s="8">
        <v>207304</v>
      </c>
      <c r="C66" s="2">
        <v>33.300000000000004</v>
      </c>
      <c r="D66" s="2">
        <v>70.099999999999994</v>
      </c>
      <c r="G66" s="128">
        <f t="shared" si="0"/>
        <v>1.8000819582013161</v>
      </c>
    </row>
    <row r="67" spans="1:7" x14ac:dyDescent="0.25">
      <c r="A67" s="8">
        <v>207305</v>
      </c>
      <c r="B67" s="8">
        <v>210903</v>
      </c>
      <c r="C67" s="2">
        <v>33.300000000000004</v>
      </c>
      <c r="D67" s="2">
        <v>69.3</v>
      </c>
      <c r="G67" s="128">
        <f t="shared" si="0"/>
        <v>1.7677610650748132</v>
      </c>
    </row>
    <row r="68" spans="1:7" x14ac:dyDescent="0.25">
      <c r="A68" s="8">
        <v>210904</v>
      </c>
      <c r="B68" s="8">
        <v>214505</v>
      </c>
      <c r="C68" s="2">
        <v>33.300000000000004</v>
      </c>
      <c r="D68" s="2">
        <v>68.5</v>
      </c>
      <c r="G68" s="128">
        <f t="shared" si="0"/>
        <v>1.7360893369672725</v>
      </c>
    </row>
    <row r="69" spans="1:7" x14ac:dyDescent="0.25">
      <c r="A69" s="8">
        <v>214506</v>
      </c>
      <c r="B69" s="8">
        <v>218104</v>
      </c>
      <c r="C69" s="2">
        <v>33.300000000000004</v>
      </c>
      <c r="D69" s="2">
        <v>68</v>
      </c>
      <c r="G69" s="128">
        <f t="shared" ref="G69:G70" si="1">(A69/A68-1)*100</f>
        <v>1.7078860524219586</v>
      </c>
    </row>
    <row r="70" spans="1:7" x14ac:dyDescent="0.25">
      <c r="A70" s="8">
        <v>218105</v>
      </c>
      <c r="B70" s="7">
        <v>9999999</v>
      </c>
      <c r="C70" s="2">
        <v>33.300000000000004</v>
      </c>
      <c r="D70" s="2">
        <v>67.100000000000009</v>
      </c>
      <c r="G70" s="128">
        <f t="shared" si="1"/>
        <v>1.6778085461478964</v>
      </c>
    </row>
    <row r="71" spans="1:7" x14ac:dyDescent="0.25">
      <c r="A7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topLeftCell="A21" workbookViewId="0">
      <selection activeCell="E27" sqref="E27:G27"/>
    </sheetView>
  </sheetViews>
  <sheetFormatPr defaultColWidth="0" defaultRowHeight="14.25" zeroHeight="1" x14ac:dyDescent="0.2"/>
  <cols>
    <col min="1" max="1" width="8.85546875" style="132" customWidth="1"/>
    <col min="2" max="2" width="52.28515625" style="132" customWidth="1"/>
    <col min="3" max="3" width="15.28515625" style="132" customWidth="1"/>
    <col min="4" max="7" width="15.7109375" style="132" customWidth="1"/>
    <col min="8" max="8" width="12.7109375" style="16" customWidth="1"/>
    <col min="9" max="9" width="5.85546875" style="132" customWidth="1"/>
    <col min="10" max="16384" width="8.85546875" style="132" hidden="1"/>
  </cols>
  <sheetData>
    <row r="1" spans="2:8" ht="17.45" customHeight="1" x14ac:dyDescent="0.25">
      <c r="B1" s="279" t="s">
        <v>115</v>
      </c>
      <c r="C1" s="280"/>
      <c r="D1" s="280"/>
      <c r="E1" s="280"/>
      <c r="F1" s="280"/>
      <c r="G1" s="280"/>
      <c r="H1" s="281"/>
    </row>
    <row r="2" spans="2:8" ht="17.45" customHeight="1" x14ac:dyDescent="0.25">
      <c r="B2" s="282" t="s">
        <v>116</v>
      </c>
      <c r="C2" s="283"/>
      <c r="D2" s="283"/>
      <c r="E2" s="283"/>
      <c r="F2" s="283"/>
      <c r="G2" s="283"/>
      <c r="H2" s="284"/>
    </row>
    <row r="3" spans="2:8" ht="15" x14ac:dyDescent="0.25">
      <c r="B3" s="285" t="s">
        <v>34</v>
      </c>
      <c r="C3" s="286"/>
      <c r="D3" s="286"/>
      <c r="E3" s="286"/>
      <c r="F3" s="286"/>
      <c r="G3" s="286"/>
      <c r="H3" s="287"/>
    </row>
    <row r="4" spans="2:8" ht="15" x14ac:dyDescent="0.25">
      <c r="B4" s="288" t="s">
        <v>81</v>
      </c>
      <c r="C4" s="289"/>
      <c r="D4" s="289"/>
      <c r="E4" s="289"/>
      <c r="F4" s="289"/>
      <c r="G4" s="289"/>
      <c r="H4" s="290"/>
    </row>
    <row r="5" spans="2:8" x14ac:dyDescent="0.2"/>
    <row r="6" spans="2:8" ht="13.9" customHeight="1" x14ac:dyDescent="0.2">
      <c r="B6" s="291" t="s">
        <v>117</v>
      </c>
      <c r="C6" s="292"/>
      <c r="D6" s="292"/>
      <c r="E6" s="292"/>
      <c r="F6" s="292"/>
      <c r="G6" s="292"/>
      <c r="H6" s="293"/>
    </row>
    <row r="7" spans="2:8" x14ac:dyDescent="0.2">
      <c r="B7" s="294"/>
      <c r="C7" s="295"/>
      <c r="D7" s="295"/>
      <c r="E7" s="295"/>
      <c r="F7" s="295"/>
      <c r="G7" s="295"/>
      <c r="H7" s="296"/>
    </row>
    <row r="8" spans="2:8" ht="13.9" hidden="1" customHeight="1" x14ac:dyDescent="0.2">
      <c r="B8" s="294"/>
      <c r="C8" s="295"/>
      <c r="D8" s="295"/>
      <c r="E8" s="295"/>
      <c r="F8" s="295"/>
      <c r="G8" s="295"/>
      <c r="H8" s="296"/>
    </row>
    <row r="9" spans="2:8" ht="13.9" hidden="1" customHeight="1" x14ac:dyDescent="0.2">
      <c r="B9" s="297"/>
      <c r="C9" s="298"/>
      <c r="D9" s="298"/>
      <c r="E9" s="298"/>
      <c r="F9" s="298"/>
      <c r="G9" s="298"/>
      <c r="H9" s="299"/>
    </row>
    <row r="10" spans="2:8" ht="15" x14ac:dyDescent="0.25">
      <c r="B10" s="300" t="s">
        <v>48</v>
      </c>
      <c r="C10" s="301"/>
      <c r="D10" s="301"/>
      <c r="E10" s="301"/>
      <c r="F10" s="301"/>
      <c r="G10" s="301"/>
      <c r="H10" s="302"/>
    </row>
    <row r="11" spans="2:8" x14ac:dyDescent="0.2">
      <c r="B11" s="194"/>
      <c r="C11" s="194"/>
      <c r="D11" s="194"/>
      <c r="E11" s="194"/>
      <c r="F11" s="194"/>
      <c r="G11" s="194"/>
      <c r="H11" s="194"/>
    </row>
    <row r="12" spans="2:8" ht="13.9" customHeight="1" x14ac:dyDescent="0.2">
      <c r="C12" s="303" t="s">
        <v>47</v>
      </c>
      <c r="D12" s="303"/>
      <c r="E12" s="303"/>
      <c r="F12" s="170"/>
      <c r="G12" s="170"/>
    </row>
    <row r="13" spans="2:8" ht="13.9" customHeight="1" x14ac:dyDescent="0.2">
      <c r="C13" s="304" t="s">
        <v>118</v>
      </c>
      <c r="D13" s="304"/>
      <c r="E13" s="304"/>
      <c r="F13" s="170"/>
      <c r="G13" s="170"/>
    </row>
    <row r="14" spans="2:8" ht="13.9" customHeight="1" x14ac:dyDescent="0.2">
      <c r="C14" s="305"/>
      <c r="D14" s="305"/>
      <c r="E14" s="305"/>
      <c r="F14" s="170"/>
      <c r="G14" s="170"/>
    </row>
    <row r="15" spans="2:8" hidden="1" x14ac:dyDescent="0.2">
      <c r="B15" s="170"/>
      <c r="C15" s="170"/>
      <c r="D15" s="170"/>
      <c r="E15" s="170"/>
      <c r="F15" s="170"/>
      <c r="G15" s="170"/>
    </row>
    <row r="16" spans="2:8" hidden="1" x14ac:dyDescent="0.2">
      <c r="B16" s="170"/>
      <c r="C16" s="170"/>
      <c r="D16" s="170"/>
      <c r="E16" s="170"/>
      <c r="F16" s="170"/>
      <c r="G16" s="170"/>
    </row>
    <row r="17" spans="2:8" hidden="1" x14ac:dyDescent="0.2"/>
    <row r="18" spans="2:8" ht="15" x14ac:dyDescent="0.25">
      <c r="B18" s="133" t="s">
        <v>8</v>
      </c>
    </row>
    <row r="19" spans="2:8" ht="15.75" x14ac:dyDescent="0.25">
      <c r="B19" s="171" t="s">
        <v>119</v>
      </c>
      <c r="C19" s="11">
        <f>+'Indicatie netto kosten'!D21</f>
        <v>32500</v>
      </c>
      <c r="D19" s="130" t="s">
        <v>18</v>
      </c>
      <c r="E19" s="131" t="s">
        <v>120</v>
      </c>
      <c r="F19" s="129"/>
      <c r="G19" s="129"/>
    </row>
    <row r="20" spans="2:8" ht="15.75" x14ac:dyDescent="0.25">
      <c r="B20" s="179"/>
      <c r="C20" s="11"/>
      <c r="D20" s="130"/>
      <c r="E20" s="131"/>
      <c r="F20" s="129"/>
      <c r="G20" s="129"/>
    </row>
    <row r="21" spans="2:8" x14ac:dyDescent="0.2"/>
    <row r="22" spans="2:8" ht="15" x14ac:dyDescent="0.25">
      <c r="B22" s="133"/>
      <c r="D22" s="138" t="s">
        <v>19</v>
      </c>
    </row>
    <row r="23" spans="2:8" x14ac:dyDescent="0.2">
      <c r="D23" s="139" t="s">
        <v>3</v>
      </c>
      <c r="E23" s="139" t="s">
        <v>4</v>
      </c>
      <c r="F23" s="139" t="s">
        <v>5</v>
      </c>
      <c r="G23" s="139" t="s">
        <v>6</v>
      </c>
    </row>
    <row r="24" spans="2:8" ht="15" x14ac:dyDescent="0.25">
      <c r="B24" s="132" t="s">
        <v>16</v>
      </c>
      <c r="C24" s="140" t="s">
        <v>15</v>
      </c>
      <c r="D24" s="192" t="str">
        <f>+'Indicatie netto kosten'!B26</f>
        <v>KDV 0-4</v>
      </c>
      <c r="E24" s="192">
        <f>+'Indicatie netto kosten'!B27</f>
        <v>0</v>
      </c>
      <c r="F24" s="192">
        <f>+'Indicatie netto kosten'!B28</f>
        <v>0</v>
      </c>
      <c r="G24" s="192">
        <f>+'Indicatie netto kosten'!B29</f>
        <v>0</v>
      </c>
    </row>
    <row r="25" spans="2:8" ht="15" x14ac:dyDescent="0.25">
      <c r="B25" s="171" t="s">
        <v>121</v>
      </c>
      <c r="C25" s="140" t="s">
        <v>17</v>
      </c>
      <c r="D25" s="193">
        <f>+'Indicatie netto kosten'!D26</f>
        <v>100</v>
      </c>
      <c r="E25" s="193">
        <f>+'Indicatie netto kosten'!D27</f>
        <v>0</v>
      </c>
      <c r="F25" s="193">
        <f>+'Indicatie netto kosten'!D28</f>
        <v>0</v>
      </c>
      <c r="G25" s="193">
        <f>+'Indicatie netto kosten'!D29</f>
        <v>0</v>
      </c>
    </row>
    <row r="26" spans="2:8" ht="15" x14ac:dyDescent="0.25">
      <c r="B26" s="179"/>
      <c r="C26" s="140"/>
      <c r="D26" s="193"/>
      <c r="E26" s="193"/>
      <c r="F26" s="193"/>
      <c r="G26" s="193"/>
    </row>
    <row r="27" spans="2:8" ht="15" x14ac:dyDescent="0.25">
      <c r="B27" s="171" t="s">
        <v>122</v>
      </c>
      <c r="C27" s="140" t="s">
        <v>17</v>
      </c>
      <c r="D27" s="108">
        <f>IF(D24="KDV 0-4",11.18,9.65)</f>
        <v>11.18</v>
      </c>
      <c r="E27" s="108">
        <f t="shared" ref="E27:G27" si="0">IF(E24="KDV 0-4",11.18,9.65)</f>
        <v>9.65</v>
      </c>
      <c r="F27" s="108">
        <f t="shared" si="0"/>
        <v>9.65</v>
      </c>
      <c r="G27" s="108">
        <f t="shared" si="0"/>
        <v>9.65</v>
      </c>
    </row>
    <row r="28" spans="2:8" ht="15" x14ac:dyDescent="0.25">
      <c r="B28" s="179"/>
      <c r="C28" s="140"/>
      <c r="D28" s="108"/>
      <c r="E28" s="108"/>
      <c r="F28" s="108"/>
      <c r="G28" s="108"/>
    </row>
    <row r="29" spans="2:8" x14ac:dyDescent="0.2">
      <c r="B29" s="134"/>
      <c r="C29" s="134"/>
      <c r="D29" s="137"/>
      <c r="E29" s="137"/>
      <c r="F29" s="137"/>
      <c r="G29" s="137"/>
    </row>
    <row r="30" spans="2:8" x14ac:dyDescent="0.2"/>
    <row r="31" spans="2:8" x14ac:dyDescent="0.2">
      <c r="B31" s="199" t="s">
        <v>123</v>
      </c>
      <c r="C31" s="204"/>
      <c r="D31" s="120">
        <f>+D32</f>
        <v>11.23</v>
      </c>
      <c r="E31" s="120">
        <f t="shared" ref="E31:G31" si="1">+E32</f>
        <v>0</v>
      </c>
      <c r="F31" s="120">
        <f t="shared" si="1"/>
        <v>0</v>
      </c>
      <c r="G31" s="121">
        <f t="shared" si="1"/>
        <v>0</v>
      </c>
      <c r="H31" s="21"/>
    </row>
    <row r="32" spans="2:8" x14ac:dyDescent="0.2">
      <c r="B32" s="203" t="s">
        <v>36</v>
      </c>
      <c r="C32" s="134"/>
      <c r="D32" s="20">
        <f>+basisinfo2026!C13</f>
        <v>11.23</v>
      </c>
      <c r="E32" s="20">
        <f>+basisinfo2026!D13</f>
        <v>0</v>
      </c>
      <c r="F32" s="20">
        <f>+basisinfo2026!E13</f>
        <v>0</v>
      </c>
      <c r="G32" s="123">
        <f>+basisinfo2026!F13</f>
        <v>0</v>
      </c>
      <c r="H32" s="21"/>
    </row>
    <row r="33" spans="2:8" x14ac:dyDescent="0.2">
      <c r="B33" s="196"/>
      <c r="C33" s="185"/>
      <c r="D33" s="124"/>
      <c r="E33" s="124"/>
      <c r="F33" s="124"/>
      <c r="G33" s="125"/>
      <c r="H33" s="21"/>
    </row>
    <row r="34" spans="2:8" x14ac:dyDescent="0.2">
      <c r="B34" s="134"/>
      <c r="C34" s="134"/>
      <c r="D34" s="20"/>
      <c r="E34" s="20"/>
      <c r="F34" s="20"/>
      <c r="G34" s="20"/>
      <c r="H34" s="21"/>
    </row>
    <row r="35" spans="2:8" x14ac:dyDescent="0.2">
      <c r="B35" s="199" t="s">
        <v>124</v>
      </c>
      <c r="C35" s="204" t="s">
        <v>45</v>
      </c>
      <c r="D35" s="200">
        <f>IF(D25&gt;0,VLOOKUP($C$19,tabelkot2026!$A$2:$D$72,3)," ")</f>
        <v>96</v>
      </c>
      <c r="E35" s="200">
        <f>IF(E25&gt;0,VLOOKUP($C$19,tabelkot2026!$A$2:$D$72,4),0)</f>
        <v>0</v>
      </c>
      <c r="F35" s="200">
        <f>IF(F25&gt;0,VLOOKUP($C$19,tabelkot2026!$A$2:$D$72,4),0)</f>
        <v>0</v>
      </c>
      <c r="G35" s="200">
        <f>IF(G25&gt;0,VLOOKUP($C$19,tabelkot2026!$A$2:$D$72,4),0)</f>
        <v>0</v>
      </c>
      <c r="H35" s="21"/>
    </row>
    <row r="36" spans="2:8" x14ac:dyDescent="0.2">
      <c r="B36" s="196"/>
      <c r="C36" s="185"/>
      <c r="D36" s="201"/>
      <c r="E36" s="201"/>
      <c r="F36" s="201"/>
      <c r="G36" s="202"/>
      <c r="H36" s="21"/>
    </row>
    <row r="37" spans="2:8" x14ac:dyDescent="0.2">
      <c r="B37" s="134"/>
      <c r="D37" s="153"/>
      <c r="E37" s="153"/>
      <c r="F37" s="153"/>
      <c r="G37" s="153"/>
    </row>
    <row r="38" spans="2:8" x14ac:dyDescent="0.2">
      <c r="B38" s="134" t="s">
        <v>11</v>
      </c>
      <c r="C38" s="134"/>
      <c r="D38" s="136">
        <f>IF(D25&gt;230,230,D25)</f>
        <v>100</v>
      </c>
      <c r="E38" s="136">
        <f>IF(E25&gt;230,230,E25)</f>
        <v>0</v>
      </c>
      <c r="F38" s="136">
        <f>IF(F25&gt;230,230,F25)</f>
        <v>0</v>
      </c>
      <c r="G38" s="136">
        <f>IF(G25&gt;230,230,G25)</f>
        <v>0</v>
      </c>
      <c r="H38" s="21"/>
    </row>
    <row r="39" spans="2:8" ht="16.149999999999999" customHeight="1" x14ac:dyDescent="0.25">
      <c r="B39" s="189"/>
      <c r="C39" s="190"/>
      <c r="D39" s="191" t="str">
        <f>IF(D25&gt;0,+D24," ")</f>
        <v>KDV 0-4</v>
      </c>
      <c r="E39" s="191" t="str">
        <f>IF(E25&gt;0,+E24," ")</f>
        <v xml:space="preserve"> </v>
      </c>
      <c r="F39" s="191" t="str">
        <f>IF(F25&gt;0,+F24," ")</f>
        <v xml:space="preserve"> </v>
      </c>
      <c r="G39" s="191" t="str">
        <f>IF(G25&gt;0,+G24," ")</f>
        <v xml:space="preserve"> </v>
      </c>
      <c r="H39" s="103" t="s">
        <v>7</v>
      </c>
    </row>
    <row r="40" spans="2:8" ht="16.149999999999999" customHeight="1" x14ac:dyDescent="0.2">
      <c r="B40" s="173" t="s">
        <v>125</v>
      </c>
      <c r="C40" s="172"/>
      <c r="D40" s="178">
        <f>IF(D25&gt;0,(D66+D67)/D61," ")</f>
        <v>0</v>
      </c>
      <c r="E40" s="178" t="str">
        <f>IF(E25&gt;0,(E66+E67)/E61," ")</f>
        <v xml:space="preserve"> </v>
      </c>
      <c r="F40" s="178" t="str">
        <f>IF(F25&gt;0,(F66+F67)/F61," ")</f>
        <v xml:space="preserve"> </v>
      </c>
      <c r="G40" s="178" t="str">
        <f>IF(G25&gt;0,(G66+G67)/G61," ")</f>
        <v xml:space="preserve"> </v>
      </c>
      <c r="H40" s="195">
        <f>IF(H68&gt;0,(H66+H67)/H61,0%)</f>
        <v>0</v>
      </c>
    </row>
    <row r="41" spans="2:8" ht="16.149999999999999" customHeight="1" x14ac:dyDescent="0.2">
      <c r="B41" s="196"/>
      <c r="C41" s="185"/>
      <c r="D41" s="197"/>
      <c r="E41" s="197"/>
      <c r="F41" s="197"/>
      <c r="G41" s="197"/>
      <c r="H41" s="198"/>
    </row>
    <row r="42" spans="2:8" ht="16.149999999999999" customHeight="1" x14ac:dyDescent="0.2">
      <c r="B42" s="134"/>
      <c r="C42" s="134"/>
      <c r="D42" s="137"/>
      <c r="E42" s="137"/>
      <c r="F42" s="137"/>
      <c r="G42" s="137"/>
      <c r="H42" s="137"/>
    </row>
    <row r="43" spans="2:8" ht="16.149999999999999" customHeight="1" x14ac:dyDescent="0.2">
      <c r="B43" s="134"/>
      <c r="C43" s="134"/>
      <c r="D43" s="137"/>
      <c r="E43" s="137"/>
      <c r="F43" s="137"/>
      <c r="G43" s="137"/>
      <c r="H43" s="137"/>
    </row>
    <row r="44" spans="2:8" x14ac:dyDescent="0.2">
      <c r="B44" s="134" t="s">
        <v>10</v>
      </c>
      <c r="C44" s="134"/>
      <c r="D44" s="136">
        <f>IF(D25&gt;230,D25-230,0)</f>
        <v>0</v>
      </c>
      <c r="E44" s="136">
        <f>IF(E25&gt;230,E25-230,0)</f>
        <v>0</v>
      </c>
      <c r="F44" s="136">
        <f>IF(F25&gt;230,F25-230,0)</f>
        <v>0</v>
      </c>
      <c r="G44" s="136">
        <f>IF(G25&gt;230,G25-230,0)</f>
        <v>0</v>
      </c>
      <c r="H44" s="21"/>
    </row>
    <row r="45" spans="2:8" ht="15" x14ac:dyDescent="0.25">
      <c r="B45" s="134"/>
      <c r="C45" s="134"/>
      <c r="D45" s="137"/>
      <c r="E45" s="137"/>
      <c r="F45" s="137"/>
      <c r="G45" s="137"/>
      <c r="H45" s="24" t="s">
        <v>7</v>
      </c>
    </row>
    <row r="46" spans="2:8" ht="15" x14ac:dyDescent="0.25">
      <c r="B46" s="135" t="s">
        <v>9</v>
      </c>
      <c r="C46" s="135"/>
      <c r="D46" s="25">
        <f>D25*D27</f>
        <v>1118</v>
      </c>
      <c r="E46" s="25">
        <f>E25*E27</f>
        <v>0</v>
      </c>
      <c r="F46" s="25">
        <f>F25*F27</f>
        <v>0</v>
      </c>
      <c r="G46" s="25">
        <f>G25*G27</f>
        <v>0</v>
      </c>
      <c r="H46" s="25">
        <f>SUM(D46:G46)</f>
        <v>1118</v>
      </c>
    </row>
    <row r="47" spans="2:8" x14ac:dyDescent="0.2">
      <c r="B47" s="134" t="s">
        <v>24</v>
      </c>
      <c r="C47" s="134"/>
      <c r="D47" s="21">
        <f>IF(D27&gt;D31,D25*(D27-D32),0)</f>
        <v>0</v>
      </c>
      <c r="E47" s="21">
        <f>IF(E27&gt;E31,E25*(E27-E32),0)</f>
        <v>0</v>
      </c>
      <c r="F47" s="21">
        <f>IF(F27&gt;F31,F25*(F27-F32),0)</f>
        <v>0</v>
      </c>
      <c r="G47" s="21">
        <f>IF(G27&gt;G31,G25*(G27-G32),0)</f>
        <v>0</v>
      </c>
      <c r="H47" s="21">
        <f>SUM(D47:G47)</f>
        <v>0</v>
      </c>
    </row>
    <row r="48" spans="2:8" ht="16.5" x14ac:dyDescent="0.35">
      <c r="B48" s="134" t="s">
        <v>25</v>
      </c>
      <c r="C48" s="134"/>
      <c r="D48" s="26">
        <f>D44*D32</f>
        <v>0</v>
      </c>
      <c r="E48" s="26">
        <f>E44*E32</f>
        <v>0</v>
      </c>
      <c r="F48" s="26">
        <f>F44*F32</f>
        <v>0</v>
      </c>
      <c r="G48" s="26">
        <f>G44*G32</f>
        <v>0</v>
      </c>
      <c r="H48" s="26">
        <f t="shared" ref="H48" si="2">SUM(D48:G48)</f>
        <v>0</v>
      </c>
    </row>
    <row r="49" spans="2:9" x14ac:dyDescent="0.2">
      <c r="B49" s="134"/>
      <c r="C49" s="134"/>
      <c r="D49" s="21"/>
      <c r="E49" s="21"/>
      <c r="F49" s="21"/>
      <c r="G49" s="21"/>
      <c r="H49" s="21"/>
      <c r="I49" s="17"/>
    </row>
    <row r="50" spans="2:9" ht="15" x14ac:dyDescent="0.25">
      <c r="B50" s="135" t="s">
        <v>26</v>
      </c>
      <c r="C50" s="135"/>
      <c r="D50" s="25">
        <f>D46-D47-D48</f>
        <v>1118</v>
      </c>
      <c r="E50" s="25">
        <f t="shared" ref="E50:H50" si="3">E46-E47-E48</f>
        <v>0</v>
      </c>
      <c r="F50" s="25">
        <f t="shared" si="3"/>
        <v>0</v>
      </c>
      <c r="G50" s="25">
        <f t="shared" si="3"/>
        <v>0</v>
      </c>
      <c r="H50" s="25">
        <f t="shared" si="3"/>
        <v>1118</v>
      </c>
    </row>
    <row r="51" spans="2:9" x14ac:dyDescent="0.2">
      <c r="B51" s="134" t="s">
        <v>27</v>
      </c>
      <c r="C51" s="134"/>
      <c r="D51" s="21">
        <f>IF(D25&gt;0,D50*D35%,0)</f>
        <v>1073.28</v>
      </c>
      <c r="E51" s="21">
        <f>IF(E25&gt;0,E50*E35%,0)</f>
        <v>0</v>
      </c>
      <c r="F51" s="21">
        <f>IF(F25&gt;0,F50*F35%,0)</f>
        <v>0</v>
      </c>
      <c r="G51" s="21">
        <f>IF(G25&gt;0,G50*G35%,0)</f>
        <v>0</v>
      </c>
      <c r="H51" s="21">
        <f>SUM(D51:G51)</f>
        <v>1073.28</v>
      </c>
    </row>
    <row r="52" spans="2:9" x14ac:dyDescent="0.2">
      <c r="B52" s="134"/>
      <c r="C52" s="134"/>
      <c r="D52" s="21"/>
      <c r="E52" s="21"/>
      <c r="F52" s="21"/>
      <c r="G52" s="21"/>
      <c r="H52" s="21"/>
    </row>
    <row r="53" spans="2:9" x14ac:dyDescent="0.2">
      <c r="B53" s="134"/>
      <c r="C53" s="134"/>
      <c r="D53" s="21"/>
      <c r="E53" s="21"/>
      <c r="F53" s="21"/>
      <c r="G53" s="21"/>
      <c r="H53" s="21"/>
    </row>
    <row r="54" spans="2:9" x14ac:dyDescent="0.2">
      <c r="B54" s="134"/>
      <c r="C54" s="134"/>
      <c r="D54" s="21"/>
      <c r="E54" s="21"/>
      <c r="F54" s="21"/>
      <c r="G54" s="21"/>
      <c r="H54" s="21"/>
    </row>
    <row r="55" spans="2:9" x14ac:dyDescent="0.2">
      <c r="B55" s="134"/>
      <c r="C55" s="134"/>
      <c r="D55" s="21"/>
      <c r="E55" s="21"/>
      <c r="F55" s="21"/>
      <c r="G55" s="21"/>
      <c r="H55" s="21"/>
    </row>
    <row r="56" spans="2:9" ht="13.9" customHeight="1" x14ac:dyDescent="0.2">
      <c r="B56" s="306" t="s">
        <v>126</v>
      </c>
      <c r="C56" s="307"/>
      <c r="D56" s="307"/>
      <c r="E56" s="307"/>
      <c r="F56" s="307"/>
      <c r="G56" s="307"/>
      <c r="H56" s="308"/>
    </row>
    <row r="57" spans="2:9" x14ac:dyDescent="0.2">
      <c r="B57" s="309"/>
      <c r="C57" s="310"/>
      <c r="D57" s="310"/>
      <c r="E57" s="310"/>
      <c r="F57" s="310"/>
      <c r="G57" s="310"/>
      <c r="H57" s="311"/>
    </row>
    <row r="58" spans="2:9" x14ac:dyDescent="0.2">
      <c r="B58" s="312"/>
      <c r="C58" s="313"/>
      <c r="D58" s="313"/>
      <c r="E58" s="313"/>
      <c r="F58" s="313"/>
      <c r="G58" s="313"/>
      <c r="H58" s="314"/>
    </row>
    <row r="59" spans="2:9" x14ac:dyDescent="0.2">
      <c r="B59" s="134"/>
      <c r="C59" s="134"/>
      <c r="D59" s="21"/>
      <c r="E59" s="21"/>
      <c r="F59" s="21"/>
      <c r="G59" s="21"/>
      <c r="H59" s="21"/>
    </row>
    <row r="60" spans="2:9" ht="15" x14ac:dyDescent="0.25">
      <c r="B60" s="277" t="s">
        <v>127</v>
      </c>
      <c r="C60" s="278"/>
      <c r="D60" s="66"/>
      <c r="E60" s="66"/>
      <c r="F60" s="66"/>
      <c r="G60" s="66"/>
      <c r="H60" s="67"/>
    </row>
    <row r="61" spans="2:9" x14ac:dyDescent="0.2">
      <c r="B61" s="173" t="s">
        <v>13</v>
      </c>
      <c r="C61" s="172"/>
      <c r="D61" s="69">
        <f>+D46</f>
        <v>1118</v>
      </c>
      <c r="E61" s="69">
        <f>+E46</f>
        <v>0</v>
      </c>
      <c r="F61" s="69">
        <f>+F46</f>
        <v>0</v>
      </c>
      <c r="G61" s="69">
        <f>+G46</f>
        <v>0</v>
      </c>
      <c r="H61" s="70">
        <f>SUM(D61:G61)</f>
        <v>1118</v>
      </c>
    </row>
    <row r="62" spans="2:9" ht="16.5" x14ac:dyDescent="0.35">
      <c r="B62" s="173" t="s">
        <v>12</v>
      </c>
      <c r="C62" s="172"/>
      <c r="D62" s="71">
        <f>+D51</f>
        <v>1073.28</v>
      </c>
      <c r="E62" s="71">
        <f>+E51</f>
        <v>0</v>
      </c>
      <c r="F62" s="71">
        <f>+F51</f>
        <v>0</v>
      </c>
      <c r="G62" s="71">
        <f>+G51</f>
        <v>0</v>
      </c>
      <c r="H62" s="72">
        <f>SUM(D62:G62)</f>
        <v>1073.28</v>
      </c>
    </row>
    <row r="63" spans="2:9" s="133" customFormat="1" ht="15" x14ac:dyDescent="0.25">
      <c r="B63" s="174" t="s">
        <v>40</v>
      </c>
      <c r="C63" s="175"/>
      <c r="D63" s="75">
        <f>D61-D62</f>
        <v>44.720000000000027</v>
      </c>
      <c r="E63" s="75">
        <f t="shared" ref="E63:H63" si="4">E61-E62</f>
        <v>0</v>
      </c>
      <c r="F63" s="75">
        <f t="shared" si="4"/>
        <v>0</v>
      </c>
      <c r="G63" s="75">
        <f t="shared" si="4"/>
        <v>0</v>
      </c>
      <c r="H63" s="76">
        <f t="shared" si="4"/>
        <v>44.720000000000027</v>
      </c>
    </row>
    <row r="64" spans="2:9" x14ac:dyDescent="0.2">
      <c r="B64" s="173"/>
      <c r="C64" s="172"/>
      <c r="D64" s="69"/>
      <c r="E64" s="69"/>
      <c r="F64" s="69"/>
      <c r="G64" s="69"/>
      <c r="H64" s="70"/>
    </row>
    <row r="65" spans="2:8" ht="15" x14ac:dyDescent="0.25">
      <c r="B65" s="174" t="s">
        <v>41</v>
      </c>
      <c r="C65" s="172"/>
      <c r="D65" s="69"/>
      <c r="E65" s="69"/>
      <c r="F65" s="69"/>
      <c r="G65" s="69"/>
      <c r="H65" s="70"/>
    </row>
    <row r="66" spans="2:8" x14ac:dyDescent="0.2">
      <c r="B66" s="173" t="s">
        <v>37</v>
      </c>
      <c r="C66" s="172"/>
      <c r="D66" s="69">
        <f t="shared" ref="D66:G67" si="5">+D47</f>
        <v>0</v>
      </c>
      <c r="E66" s="69">
        <f t="shared" si="5"/>
        <v>0</v>
      </c>
      <c r="F66" s="69">
        <f t="shared" si="5"/>
        <v>0</v>
      </c>
      <c r="G66" s="69">
        <f t="shared" si="5"/>
        <v>0</v>
      </c>
      <c r="H66" s="70">
        <f>SUM(D66:G66)</f>
        <v>0</v>
      </c>
    </row>
    <row r="67" spans="2:8" x14ac:dyDescent="0.2">
      <c r="B67" s="173" t="s">
        <v>38</v>
      </c>
      <c r="C67" s="172"/>
      <c r="D67" s="69">
        <f t="shared" si="5"/>
        <v>0</v>
      </c>
      <c r="E67" s="69">
        <f t="shared" si="5"/>
        <v>0</v>
      </c>
      <c r="F67" s="69">
        <f t="shared" si="5"/>
        <v>0</v>
      </c>
      <c r="G67" s="69">
        <f t="shared" si="5"/>
        <v>0</v>
      </c>
      <c r="H67" s="70">
        <f>SUM(D67:G67)</f>
        <v>0</v>
      </c>
    </row>
    <row r="68" spans="2:8" ht="16.5" x14ac:dyDescent="0.35">
      <c r="B68" s="173" t="s">
        <v>39</v>
      </c>
      <c r="C68" s="172"/>
      <c r="D68" s="71">
        <f>D50-D51</f>
        <v>44.720000000000027</v>
      </c>
      <c r="E68" s="71">
        <f>E50-E51</f>
        <v>0</v>
      </c>
      <c r="F68" s="71">
        <f>F50-F51</f>
        <v>0</v>
      </c>
      <c r="G68" s="71">
        <f>G50-G51</f>
        <v>0</v>
      </c>
      <c r="H68" s="72">
        <f>SUM(D68:G68)</f>
        <v>44.720000000000027</v>
      </c>
    </row>
    <row r="69" spans="2:8" ht="15" x14ac:dyDescent="0.25">
      <c r="B69" s="176" t="s">
        <v>128</v>
      </c>
      <c r="C69" s="177"/>
      <c r="D69" s="79">
        <f>SUM(D66:D68)</f>
        <v>44.720000000000027</v>
      </c>
      <c r="E69" s="79">
        <f>SUM(E66:E68)</f>
        <v>0</v>
      </c>
      <c r="F69" s="79">
        <f>SUM(F66:F68)</f>
        <v>0</v>
      </c>
      <c r="G69" s="79">
        <f>SUM(G66:G68)</f>
        <v>0</v>
      </c>
      <c r="H69" s="80">
        <f>SUM(H66:H68)</f>
        <v>44.720000000000027</v>
      </c>
    </row>
    <row r="70" spans="2:8" x14ac:dyDescent="0.2">
      <c r="B70" s="134"/>
      <c r="C70" s="134"/>
      <c r="D70" s="134"/>
      <c r="E70" s="134"/>
      <c r="F70" s="134"/>
      <c r="G70" s="134"/>
      <c r="H70" s="21"/>
    </row>
    <row r="71" spans="2:8" x14ac:dyDescent="0.2">
      <c r="B71" s="134"/>
      <c r="C71" s="134"/>
      <c r="D71" s="134"/>
      <c r="E71" s="134"/>
      <c r="F71" s="134"/>
      <c r="G71" s="134"/>
      <c r="H71" s="21"/>
    </row>
    <row r="72" spans="2:8" ht="15" x14ac:dyDescent="0.25">
      <c r="B72" s="277" t="s">
        <v>46</v>
      </c>
      <c r="C72" s="278"/>
      <c r="D72" s="84"/>
      <c r="E72" s="84"/>
      <c r="F72" s="84"/>
      <c r="G72" s="84"/>
      <c r="H72" s="85"/>
    </row>
    <row r="73" spans="2:8" x14ac:dyDescent="0.2">
      <c r="B73" s="181" t="s">
        <v>13</v>
      </c>
      <c r="C73" s="180"/>
      <c r="D73" s="87" t="e">
        <f>+#REF!</f>
        <v>#REF!</v>
      </c>
      <c r="E73" s="87" t="e">
        <f>+#REF!</f>
        <v>#REF!</v>
      </c>
      <c r="F73" s="87" t="e">
        <f>+#REF!</f>
        <v>#REF!</v>
      </c>
      <c r="G73" s="87" t="e">
        <f>+#REF!</f>
        <v>#REF!</v>
      </c>
      <c r="H73" s="88" t="e">
        <f>SUM(D73:G73)</f>
        <v>#REF!</v>
      </c>
    </row>
    <row r="74" spans="2:8" ht="16.5" x14ac:dyDescent="0.35">
      <c r="B74" s="181" t="s">
        <v>12</v>
      </c>
      <c r="C74" s="180"/>
      <c r="D74" s="89" t="e">
        <f>+#REF!</f>
        <v>#REF!</v>
      </c>
      <c r="E74" s="89" t="e">
        <f>+#REF!</f>
        <v>#REF!</v>
      </c>
      <c r="F74" s="89" t="e">
        <f>+#REF!</f>
        <v>#REF!</v>
      </c>
      <c r="G74" s="89" t="e">
        <f>+#REF!</f>
        <v>#REF!</v>
      </c>
      <c r="H74" s="90" t="e">
        <f>SUM(D74:G74)</f>
        <v>#REF!</v>
      </c>
    </row>
    <row r="75" spans="2:8" s="133" customFormat="1" ht="15" x14ac:dyDescent="0.25">
      <c r="B75" s="182" t="s">
        <v>40</v>
      </c>
      <c r="C75" s="183"/>
      <c r="D75" s="93" t="e">
        <f>D73-D74</f>
        <v>#REF!</v>
      </c>
      <c r="E75" s="93" t="e">
        <f t="shared" ref="E75:H75" si="6">E73-E74</f>
        <v>#REF!</v>
      </c>
      <c r="F75" s="93" t="e">
        <f t="shared" si="6"/>
        <v>#REF!</v>
      </c>
      <c r="G75" s="93" t="e">
        <f t="shared" si="6"/>
        <v>#REF!</v>
      </c>
      <c r="H75" s="94" t="e">
        <f t="shared" si="6"/>
        <v>#REF!</v>
      </c>
    </row>
    <row r="76" spans="2:8" x14ac:dyDescent="0.2">
      <c r="B76" s="181"/>
      <c r="C76" s="180"/>
      <c r="D76" s="87"/>
      <c r="E76" s="87"/>
      <c r="F76" s="87"/>
      <c r="G76" s="87"/>
      <c r="H76" s="88"/>
    </row>
    <row r="77" spans="2:8" ht="15" x14ac:dyDescent="0.25">
      <c r="B77" s="182" t="s">
        <v>41</v>
      </c>
      <c r="C77" s="180"/>
      <c r="D77" s="87"/>
      <c r="E77" s="87"/>
      <c r="F77" s="87"/>
      <c r="G77" s="87"/>
      <c r="H77" s="88"/>
    </row>
    <row r="78" spans="2:8" x14ac:dyDescent="0.2">
      <c r="B78" s="181" t="s">
        <v>37</v>
      </c>
      <c r="C78" s="180"/>
      <c r="D78" s="87" t="e">
        <f>+#REF!</f>
        <v>#REF!</v>
      </c>
      <c r="E78" s="87" t="e">
        <f>+#REF!</f>
        <v>#REF!</v>
      </c>
      <c r="F78" s="87" t="e">
        <f>+#REF!</f>
        <v>#REF!</v>
      </c>
      <c r="G78" s="87" t="e">
        <f>+#REF!</f>
        <v>#REF!</v>
      </c>
      <c r="H78" s="88" t="e">
        <f>SUM(D78:G78)</f>
        <v>#REF!</v>
      </c>
    </row>
    <row r="79" spans="2:8" x14ac:dyDescent="0.2">
      <c r="B79" s="181" t="s">
        <v>38</v>
      </c>
      <c r="C79" s="180"/>
      <c r="D79" s="87" t="e">
        <f>+#REF!</f>
        <v>#REF!</v>
      </c>
      <c r="E79" s="87" t="e">
        <f>+#REF!</f>
        <v>#REF!</v>
      </c>
      <c r="F79" s="87" t="e">
        <f>+#REF!</f>
        <v>#REF!</v>
      </c>
      <c r="G79" s="87" t="e">
        <f>+#REF!</f>
        <v>#REF!</v>
      </c>
      <c r="H79" s="88" t="e">
        <f>SUM(D79:G79)</f>
        <v>#REF!</v>
      </c>
    </row>
    <row r="80" spans="2:8" ht="16.5" x14ac:dyDescent="0.35">
      <c r="B80" s="181" t="s">
        <v>39</v>
      </c>
      <c r="C80" s="180"/>
      <c r="D80" s="89" t="e">
        <f>+#REF!</f>
        <v>#REF!</v>
      </c>
      <c r="E80" s="89" t="e">
        <f>+#REF!</f>
        <v>#REF!</v>
      </c>
      <c r="F80" s="89" t="e">
        <f>+#REF!</f>
        <v>#REF!</v>
      </c>
      <c r="G80" s="89" t="e">
        <f>+#REF!</f>
        <v>#REF!</v>
      </c>
      <c r="H80" s="90" t="e">
        <f>SUM(D80:G80)</f>
        <v>#REF!</v>
      </c>
    </row>
    <row r="81" spans="2:8" ht="15" x14ac:dyDescent="0.25">
      <c r="B81" s="184" t="s">
        <v>60</v>
      </c>
      <c r="C81" s="185"/>
      <c r="D81" s="97" t="e">
        <f>SUM(D78:D80)</f>
        <v>#REF!</v>
      </c>
      <c r="E81" s="97" t="e">
        <f t="shared" ref="E81:G81" si="7">SUM(E78:E80)</f>
        <v>#REF!</v>
      </c>
      <c r="F81" s="97" t="e">
        <f t="shared" si="7"/>
        <v>#REF!</v>
      </c>
      <c r="G81" s="97" t="e">
        <f t="shared" si="7"/>
        <v>#REF!</v>
      </c>
      <c r="H81" s="98" t="e">
        <f>SUM(H78:H80)</f>
        <v>#REF!</v>
      </c>
    </row>
    <row r="82" spans="2:8" ht="15" x14ac:dyDescent="0.25">
      <c r="B82" s="135"/>
      <c r="C82" s="134"/>
      <c r="D82" s="25"/>
      <c r="E82" s="25"/>
      <c r="F82" s="25"/>
      <c r="G82" s="25"/>
      <c r="H82" s="25"/>
    </row>
    <row r="83" spans="2:8" ht="13.9" customHeight="1" x14ac:dyDescent="0.2">
      <c r="B83" s="317" t="s">
        <v>129</v>
      </c>
      <c r="C83" s="318"/>
      <c r="D83" s="318"/>
      <c r="E83" s="318"/>
      <c r="F83" s="318"/>
      <c r="G83" s="318"/>
      <c r="H83" s="319"/>
    </row>
    <row r="84" spans="2:8" x14ac:dyDescent="0.2">
      <c r="B84" s="320"/>
      <c r="C84" s="321"/>
      <c r="D84" s="321"/>
      <c r="E84" s="321"/>
      <c r="F84" s="321"/>
      <c r="G84" s="321"/>
      <c r="H84" s="322"/>
    </row>
    <row r="85" spans="2:8" ht="15" x14ac:dyDescent="0.25">
      <c r="B85" s="323" t="str">
        <f>IF(D35&lt;&gt;D36,"LET OP : DE INKOMENS OVER DE 2 JAREN VERSCHILLEN DUSDANIG DAT ER EEN VERSCHIL IS IN DE TOESLAGEN"," ")</f>
        <v>LET OP : DE INKOMENS OVER DE 2 JAREN VERSCHILLEN DUSDANIG DAT ER EEN VERSCHIL IS IN DE TOESLAGEN</v>
      </c>
      <c r="C85" s="323"/>
      <c r="D85" s="323"/>
      <c r="E85" s="323"/>
      <c r="F85" s="323"/>
      <c r="G85" s="323"/>
      <c r="H85" s="323"/>
    </row>
    <row r="86" spans="2:8" ht="15" x14ac:dyDescent="0.25">
      <c r="B86" s="323" t="str">
        <f>IF(D25&lt;&gt;D26,"LET OP : ER IS GEEN REKENING GEHOUDEN MET EEN VERSCHIL IN AANTAL KINDEROPVANGUREN TUSSEN DE 2 JAREN !"," ")</f>
        <v>LET OP : ER IS GEEN REKENING GEHOUDEN MET EEN VERSCHIL IN AANTAL KINDEROPVANGUREN TUSSEN DE 2 JAREN !</v>
      </c>
      <c r="C86" s="323"/>
      <c r="D86" s="323"/>
      <c r="E86" s="323"/>
      <c r="F86" s="323"/>
      <c r="G86" s="323"/>
      <c r="H86" s="323"/>
    </row>
    <row r="87" spans="2:8" ht="15" x14ac:dyDescent="0.25">
      <c r="B87" s="161" t="s">
        <v>130</v>
      </c>
      <c r="C87" s="154"/>
      <c r="D87" s="46"/>
      <c r="E87" s="46"/>
      <c r="F87" s="46"/>
      <c r="G87" s="46"/>
      <c r="H87" s="47"/>
    </row>
    <row r="88" spans="2:8" x14ac:dyDescent="0.2">
      <c r="B88" s="155" t="s">
        <v>13</v>
      </c>
      <c r="C88" s="156"/>
      <c r="D88" s="162" t="e">
        <f>D73-D61</f>
        <v>#REF!</v>
      </c>
      <c r="E88" s="162" t="e">
        <f>E73-E61</f>
        <v>#REF!</v>
      </c>
      <c r="F88" s="162" t="e">
        <f>F73-F61</f>
        <v>#REF!</v>
      </c>
      <c r="G88" s="162" t="e">
        <f>G73-G61</f>
        <v>#REF!</v>
      </c>
      <c r="H88" s="163" t="e">
        <f>H73-H61</f>
        <v>#REF!</v>
      </c>
    </row>
    <row r="89" spans="2:8" ht="16.5" x14ac:dyDescent="0.35">
      <c r="B89" s="155" t="s">
        <v>12</v>
      </c>
      <c r="C89" s="156"/>
      <c r="D89" s="164" t="e">
        <f>D62-D74</f>
        <v>#REF!</v>
      </c>
      <c r="E89" s="164" t="e">
        <f>E62-E74</f>
        <v>#REF!</v>
      </c>
      <c r="F89" s="164" t="e">
        <f>F62-F74</f>
        <v>#REF!</v>
      </c>
      <c r="G89" s="164" t="e">
        <f>G62-G74</f>
        <v>#REF!</v>
      </c>
      <c r="H89" s="165" t="e">
        <f>H62-H74</f>
        <v>#REF!</v>
      </c>
    </row>
    <row r="90" spans="2:8" ht="15" x14ac:dyDescent="0.25">
      <c r="B90" s="157" t="s">
        <v>40</v>
      </c>
      <c r="C90" s="158"/>
      <c r="D90" s="166" t="e">
        <f>D75-D63</f>
        <v>#REF!</v>
      </c>
      <c r="E90" s="166" t="e">
        <f>E75-E63</f>
        <v>#REF!</v>
      </c>
      <c r="F90" s="166" t="e">
        <f>F75-F63</f>
        <v>#REF!</v>
      </c>
      <c r="G90" s="166" t="e">
        <f>G75-G63</f>
        <v>#REF!</v>
      </c>
      <c r="H90" s="167" t="e">
        <f>H75-H63</f>
        <v>#REF!</v>
      </c>
    </row>
    <row r="91" spans="2:8" x14ac:dyDescent="0.2">
      <c r="B91" s="155"/>
      <c r="C91" s="156"/>
      <c r="D91" s="162"/>
      <c r="E91" s="162"/>
      <c r="F91" s="162"/>
      <c r="G91" s="162"/>
      <c r="H91" s="163"/>
    </row>
    <row r="92" spans="2:8" ht="15" x14ac:dyDescent="0.25">
      <c r="B92" s="157" t="s">
        <v>41</v>
      </c>
      <c r="C92" s="156"/>
      <c r="D92" s="162"/>
      <c r="E92" s="162"/>
      <c r="F92" s="162"/>
      <c r="G92" s="162"/>
      <c r="H92" s="163"/>
    </row>
    <row r="93" spans="2:8" x14ac:dyDescent="0.2">
      <c r="B93" s="155" t="s">
        <v>37</v>
      </c>
      <c r="C93" s="156"/>
      <c r="D93" s="162" t="e">
        <f t="shared" ref="D93:G95" si="8">D78-D66</f>
        <v>#REF!</v>
      </c>
      <c r="E93" s="162" t="e">
        <f t="shared" si="8"/>
        <v>#REF!</v>
      </c>
      <c r="F93" s="162" t="e">
        <f t="shared" si="8"/>
        <v>#REF!</v>
      </c>
      <c r="G93" s="162" t="e">
        <f t="shared" si="8"/>
        <v>#REF!</v>
      </c>
      <c r="H93" s="163" t="e">
        <f>SUM(D93:G93)</f>
        <v>#REF!</v>
      </c>
    </row>
    <row r="94" spans="2:8" x14ac:dyDescent="0.2">
      <c r="B94" s="155" t="s">
        <v>38</v>
      </c>
      <c r="C94" s="156"/>
      <c r="D94" s="162" t="e">
        <f t="shared" si="8"/>
        <v>#REF!</v>
      </c>
      <c r="E94" s="162" t="e">
        <f t="shared" si="8"/>
        <v>#REF!</v>
      </c>
      <c r="F94" s="162" t="e">
        <f t="shared" si="8"/>
        <v>#REF!</v>
      </c>
      <c r="G94" s="162" t="e">
        <f t="shared" si="8"/>
        <v>#REF!</v>
      </c>
      <c r="H94" s="163" t="e">
        <f>SUM(D94:G94)</f>
        <v>#REF!</v>
      </c>
    </row>
    <row r="95" spans="2:8" ht="16.5" x14ac:dyDescent="0.35">
      <c r="B95" s="155" t="s">
        <v>39</v>
      </c>
      <c r="C95" s="156"/>
      <c r="D95" s="164" t="e">
        <f t="shared" si="8"/>
        <v>#REF!</v>
      </c>
      <c r="E95" s="164" t="e">
        <f t="shared" si="8"/>
        <v>#REF!</v>
      </c>
      <c r="F95" s="164" t="e">
        <f t="shared" si="8"/>
        <v>#REF!</v>
      </c>
      <c r="G95" s="164" t="e">
        <f t="shared" si="8"/>
        <v>#REF!</v>
      </c>
      <c r="H95" s="165" t="e">
        <f>SUM(D95:G95)</f>
        <v>#REF!</v>
      </c>
    </row>
    <row r="96" spans="2:8" ht="15" x14ac:dyDescent="0.25">
      <c r="B96" s="159" t="s">
        <v>40</v>
      </c>
      <c r="C96" s="160"/>
      <c r="D96" s="168" t="e">
        <f>SUM(D93:D95)</f>
        <v>#REF!</v>
      </c>
      <c r="E96" s="168" t="e">
        <f t="shared" ref="E96:G96" si="9">SUM(E93:E95)</f>
        <v>#REF!</v>
      </c>
      <c r="F96" s="168" t="e">
        <f t="shared" si="9"/>
        <v>#REF!</v>
      </c>
      <c r="G96" s="168" t="e">
        <f t="shared" si="9"/>
        <v>#REF!</v>
      </c>
      <c r="H96" s="169" t="e">
        <f>SUM(H93:H95)</f>
        <v>#REF!</v>
      </c>
    </row>
    <row r="97" spans="2:8" x14ac:dyDescent="0.2">
      <c r="B97" s="134"/>
      <c r="C97" s="134"/>
      <c r="D97" s="134"/>
      <c r="E97" s="134"/>
      <c r="F97" s="134"/>
      <c r="G97" s="134"/>
      <c r="H97" s="21"/>
    </row>
    <row r="98" spans="2:8" x14ac:dyDescent="0.2">
      <c r="B98" s="134"/>
      <c r="C98" s="134"/>
      <c r="D98" s="134"/>
      <c r="E98" s="134"/>
      <c r="F98" s="134"/>
      <c r="G98" s="134"/>
      <c r="H98" s="21"/>
    </row>
    <row r="99" spans="2:8" ht="13.9" customHeight="1" x14ac:dyDescent="0.2">
      <c r="B99" s="317" t="s">
        <v>49</v>
      </c>
      <c r="C99" s="318"/>
      <c r="D99" s="318"/>
      <c r="E99" s="318"/>
      <c r="F99" s="318"/>
      <c r="G99" s="318"/>
      <c r="H99" s="319"/>
    </row>
    <row r="100" spans="2:8" x14ac:dyDescent="0.2">
      <c r="B100" s="320"/>
      <c r="C100" s="321"/>
      <c r="D100" s="321"/>
      <c r="E100" s="321"/>
      <c r="F100" s="321"/>
      <c r="G100" s="321"/>
      <c r="H100" s="322"/>
    </row>
    <row r="101" spans="2:8" x14ac:dyDescent="0.2">
      <c r="B101" s="134"/>
      <c r="C101" s="134"/>
      <c r="D101" s="134"/>
      <c r="E101" s="134"/>
      <c r="F101" s="134"/>
      <c r="G101" s="134"/>
      <c r="H101" s="21"/>
    </row>
    <row r="102" spans="2:8" x14ac:dyDescent="0.2">
      <c r="B102" s="172" t="s">
        <v>131</v>
      </c>
      <c r="C102" s="172"/>
      <c r="D102" s="178">
        <f>IF(D$69&lt;&gt;0,D69/D$46,0)</f>
        <v>4.0000000000000022E-2</v>
      </c>
      <c r="E102" s="178">
        <f>IF(E$69&lt;&gt;0,E69/E$46,0)</f>
        <v>0</v>
      </c>
      <c r="F102" s="178">
        <f>IF(F$25&gt;0,F69/F$46,0)</f>
        <v>0</v>
      </c>
      <c r="G102" s="178">
        <f>IF(G$69&lt;&gt;0,G69/G$46,0)</f>
        <v>0</v>
      </c>
      <c r="H102" s="178">
        <f>IF(H$69&lt;&gt;0,H69/H$46,0)</f>
        <v>4.0000000000000022E-2</v>
      </c>
    </row>
    <row r="103" spans="2:8" x14ac:dyDescent="0.2">
      <c r="B103" s="172" t="s">
        <v>132</v>
      </c>
      <c r="C103" s="172"/>
      <c r="D103" s="178">
        <f>IF(D$69&lt;&gt;0,1-D102,0)</f>
        <v>0.96</v>
      </c>
      <c r="E103" s="178">
        <f t="shared" ref="E103:H103" si="10">IF(E$69&lt;&gt;0,1-E102,0)</f>
        <v>0</v>
      </c>
      <c r="F103" s="178">
        <f t="shared" si="10"/>
        <v>0</v>
      </c>
      <c r="G103" s="178">
        <f t="shared" si="10"/>
        <v>0</v>
      </c>
      <c r="H103" s="178">
        <f t="shared" si="10"/>
        <v>0.96</v>
      </c>
    </row>
    <row r="104" spans="2:8" x14ac:dyDescent="0.2">
      <c r="B104" s="134"/>
      <c r="C104" s="134"/>
      <c r="D104" s="137"/>
      <c r="E104" s="137"/>
      <c r="F104" s="137"/>
      <c r="G104" s="137"/>
      <c r="H104" s="137"/>
    </row>
    <row r="105" spans="2:8" x14ac:dyDescent="0.2">
      <c r="B105" s="180" t="s">
        <v>57</v>
      </c>
      <c r="C105" s="180"/>
      <c r="D105" s="186" t="e">
        <f>+#REF!</f>
        <v>#REF!</v>
      </c>
      <c r="E105" s="186" t="e">
        <f>+#REF!</f>
        <v>#REF!</v>
      </c>
      <c r="F105" s="186" t="e">
        <f>+#REF!</f>
        <v>#REF!</v>
      </c>
      <c r="G105" s="186" t="e">
        <f>+#REF!</f>
        <v>#REF!</v>
      </c>
      <c r="H105" s="186" t="e">
        <f>+#REF!</f>
        <v>#REF!</v>
      </c>
    </row>
    <row r="106" spans="2:8" x14ac:dyDescent="0.2">
      <c r="B106" s="180" t="s">
        <v>58</v>
      </c>
      <c r="C106" s="180"/>
      <c r="D106" s="186" t="e">
        <f>IF(D$69&lt;&gt;0,1-D105,0)</f>
        <v>#REF!</v>
      </c>
      <c r="E106" s="186">
        <f t="shared" ref="E106:H106" si="11">IF(E$69&lt;&gt;0,1-E105,0)</f>
        <v>0</v>
      </c>
      <c r="F106" s="186">
        <f t="shared" si="11"/>
        <v>0</v>
      </c>
      <c r="G106" s="186">
        <f t="shared" si="11"/>
        <v>0</v>
      </c>
      <c r="H106" s="186" t="e">
        <f t="shared" si="11"/>
        <v>#REF!</v>
      </c>
    </row>
    <row r="107" spans="2:8" x14ac:dyDescent="0.2">
      <c r="B107" s="134"/>
      <c r="C107" s="134"/>
      <c r="D107" s="137"/>
      <c r="E107" s="137"/>
      <c r="F107" s="137"/>
      <c r="G107" s="137"/>
      <c r="H107" s="137"/>
    </row>
    <row r="108" spans="2:8" hidden="1" x14ac:dyDescent="0.2">
      <c r="B108" s="187" t="s">
        <v>133</v>
      </c>
      <c r="C108" s="172"/>
      <c r="D108" s="178">
        <f t="shared" ref="D108:H109" si="12">+D40</f>
        <v>0</v>
      </c>
      <c r="E108" s="178" t="str">
        <f t="shared" si="12"/>
        <v xml:space="preserve"> </v>
      </c>
      <c r="F108" s="178" t="str">
        <f t="shared" si="12"/>
        <v xml:space="preserve"> </v>
      </c>
      <c r="G108" s="178" t="str">
        <f t="shared" si="12"/>
        <v xml:space="preserve"> </v>
      </c>
      <c r="H108" s="178">
        <f t="shared" si="12"/>
        <v>0</v>
      </c>
    </row>
    <row r="109" spans="2:8" hidden="1" x14ac:dyDescent="0.2">
      <c r="B109" s="188" t="s">
        <v>134</v>
      </c>
      <c r="C109" s="180"/>
      <c r="D109" s="186">
        <f t="shared" si="12"/>
        <v>0</v>
      </c>
      <c r="E109" s="186">
        <f t="shared" si="12"/>
        <v>0</v>
      </c>
      <c r="F109" s="186">
        <f t="shared" si="12"/>
        <v>0</v>
      </c>
      <c r="G109" s="186">
        <f t="shared" si="12"/>
        <v>0</v>
      </c>
      <c r="H109" s="186">
        <f t="shared" si="12"/>
        <v>0</v>
      </c>
    </row>
    <row r="110" spans="2:8" ht="15.6" hidden="1" customHeight="1" x14ac:dyDescent="0.25">
      <c r="B110" s="324" t="str">
        <f>IF(H108&gt;25%,"Een gedeelte van de maandelijkse kosten is dus het gevolg van het uurtarief van de kinderopvangorganisatie dat hoger is dan de maximale uurtariefvergoeding. Heb je wel eens een vergelijk gemaakt met de tarieven van een andere organisatie?"," ")</f>
        <v xml:space="preserve"> </v>
      </c>
      <c r="C110" s="324"/>
      <c r="D110" s="324"/>
      <c r="E110" s="324"/>
      <c r="F110" s="324"/>
      <c r="G110" s="324"/>
      <c r="H110" s="324"/>
    </row>
    <row r="111" spans="2:8" ht="15.6" customHeight="1" x14ac:dyDescent="0.2">
      <c r="B111" s="325" t="s">
        <v>50</v>
      </c>
      <c r="C111" s="326"/>
      <c r="D111" s="326"/>
      <c r="E111" s="326"/>
      <c r="F111" s="326"/>
      <c r="G111" s="326"/>
      <c r="H111" s="327"/>
    </row>
    <row r="112" spans="2:8" ht="13.9" customHeight="1" x14ac:dyDescent="0.2">
      <c r="B112" s="328"/>
      <c r="C112" s="324"/>
      <c r="D112" s="324"/>
      <c r="E112" s="324"/>
      <c r="F112" s="324"/>
      <c r="G112" s="324"/>
      <c r="H112" s="329"/>
    </row>
    <row r="113" spans="2:8" x14ac:dyDescent="0.2">
      <c r="B113" s="129"/>
      <c r="C113" s="129"/>
      <c r="D113" s="129"/>
      <c r="E113" s="129"/>
      <c r="F113" s="129"/>
      <c r="G113" s="129"/>
      <c r="H113" s="10"/>
    </row>
    <row r="114" spans="2:8" x14ac:dyDescent="0.2">
      <c r="B114" s="141" t="s">
        <v>20</v>
      </c>
      <c r="C114" s="142"/>
      <c r="D114" s="142"/>
      <c r="E114" s="143" t="s">
        <v>33</v>
      </c>
      <c r="F114" s="142"/>
      <c r="G114" s="142"/>
      <c r="H114" s="144"/>
    </row>
    <row r="115" spans="2:8" x14ac:dyDescent="0.2">
      <c r="B115" s="145" t="s">
        <v>21</v>
      </c>
      <c r="C115" s="152"/>
      <c r="D115" s="152"/>
      <c r="E115" s="146" t="s">
        <v>34</v>
      </c>
      <c r="F115" s="152"/>
      <c r="G115" s="152"/>
      <c r="H115" s="147"/>
    </row>
    <row r="116" spans="2:8" x14ac:dyDescent="0.2">
      <c r="B116" s="145" t="s">
        <v>28</v>
      </c>
      <c r="C116" s="152"/>
      <c r="D116" s="152"/>
      <c r="E116" s="148" t="s">
        <v>35</v>
      </c>
      <c r="F116" s="152"/>
      <c r="G116" s="152"/>
      <c r="H116" s="38"/>
    </row>
    <row r="117" spans="2:8" x14ac:dyDescent="0.2">
      <c r="B117" s="149" t="s">
        <v>31</v>
      </c>
      <c r="C117" s="150"/>
      <c r="D117" s="150"/>
      <c r="E117" s="151" t="s">
        <v>32</v>
      </c>
      <c r="F117" s="150"/>
      <c r="G117" s="150"/>
      <c r="H117" s="42"/>
    </row>
    <row r="118" spans="2:8" hidden="1" x14ac:dyDescent="0.2">
      <c r="B118" s="149" t="s">
        <v>44</v>
      </c>
      <c r="C118" s="150"/>
      <c r="D118" s="150"/>
      <c r="E118" s="151" t="s">
        <v>43</v>
      </c>
      <c r="F118" s="150"/>
      <c r="G118" s="150"/>
      <c r="H118" s="42"/>
    </row>
    <row r="119" spans="2:8" ht="28.15" customHeight="1" x14ac:dyDescent="0.25">
      <c r="B119" s="315" t="s">
        <v>42</v>
      </c>
      <c r="C119" s="315"/>
      <c r="D119" s="315"/>
      <c r="E119" s="315"/>
      <c r="F119" s="315"/>
      <c r="G119" s="315"/>
      <c r="H119" s="315"/>
    </row>
    <row r="120" spans="2:8" x14ac:dyDescent="0.2">
      <c r="B120" s="316" t="s">
        <v>81</v>
      </c>
      <c r="C120" s="316"/>
      <c r="D120" s="316"/>
      <c r="E120" s="316"/>
      <c r="F120" s="316"/>
      <c r="G120" s="316"/>
      <c r="H120" s="316"/>
    </row>
  </sheetData>
  <mergeCells count="20">
    <mergeCell ref="B119:H119"/>
    <mergeCell ref="B120:H120"/>
    <mergeCell ref="B83:H84"/>
    <mergeCell ref="B85:H85"/>
    <mergeCell ref="B86:H86"/>
    <mergeCell ref="B99:H100"/>
    <mergeCell ref="B110:H110"/>
    <mergeCell ref="B111:H112"/>
    <mergeCell ref="B72:C72"/>
    <mergeCell ref="B1:H1"/>
    <mergeCell ref="B2:H2"/>
    <mergeCell ref="B3:H3"/>
    <mergeCell ref="B4:H4"/>
    <mergeCell ref="B6:H9"/>
    <mergeCell ref="B10:H10"/>
    <mergeCell ref="C12:E12"/>
    <mergeCell ref="C13:E13"/>
    <mergeCell ref="C14:E14"/>
    <mergeCell ref="B56:H58"/>
    <mergeCell ref="B60:C60"/>
  </mergeCells>
  <dataValidations count="3">
    <dataValidation type="whole" errorStyle="information" allowBlank="1" showInputMessage="1" showErrorMessage="1" errorTitle="Foutmelding" error="Een heel getal tussen 0 en 999.999" sqref="C19:C20">
      <formula1>0</formula1>
      <formula2>999999</formula2>
    </dataValidation>
    <dataValidation type="decimal" allowBlank="1" showInputMessage="1" showErrorMessage="1" errorTitle="Fout" error="Voer hier de kinderopvanguren in , een getal tussen 0 en 260" promptTitle="Voer aantal maanduren in" prompt="Voer hier het aantal kinderopvang uren per maand in welke door de organisatie in rekening wordt gebracht_x000a_" sqref="D25:G26">
      <formula1>0</formula1>
      <formula2>260</formula2>
    </dataValidation>
    <dataValidation type="decimal" allowBlank="1" showInputMessage="1" showErrorMessage="1" errorTitle="Fout" error="Voer een uurtarief in tussen 5,00 en 25,00" promptTitle="Voer het uurtarief" prompt="Voer het uurtarief in wat de _x000a_organisatie in rekening brengt_x000a_" sqref="D27:G28">
      <formula1>5</formula1>
      <formula2>25</formula2>
    </dataValidation>
  </dataValidations>
  <hyperlinks>
    <hyperlink ref="B3:H3" r:id="rId1" display="https://www.kinderopvang-wijzer.nl/"/>
    <hyperlink ref="E118" r:id="rId2"/>
    <hyperlink ref="E117" r:id="rId3"/>
    <hyperlink ref="E116" r:id="rId4"/>
    <hyperlink ref="E115" r:id="rId5"/>
    <hyperlink ref="B3" r:id="rId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Selecteer opvangvorm" prompt="Selecteer opvangvorm KDV (kinderdagverblijf), BSO (buitenschoolse opvang) of Gastouderopvang">
          <x14:formula1>
            <xm:f>basisinfo2025!$A$1:$A$3</xm:f>
          </x14:formula1>
          <xm:sqref>D24:G24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1"/>
  <sheetViews>
    <sheetView topLeftCell="A43" workbookViewId="0">
      <selection activeCell="B46" sqref="B46"/>
    </sheetView>
  </sheetViews>
  <sheetFormatPr defaultRowHeight="15" x14ac:dyDescent="0.25"/>
  <cols>
    <col min="1" max="2" width="15.7109375" style="3" customWidth="1"/>
    <col min="3" max="4" width="15.7109375" style="2" customWidth="1"/>
    <col min="5" max="16384" width="9.140625" style="128"/>
  </cols>
  <sheetData>
    <row r="1" spans="1:18" x14ac:dyDescent="0.25">
      <c r="A1" s="3" t="s">
        <v>14</v>
      </c>
      <c r="B1" s="3" t="s">
        <v>0</v>
      </c>
      <c r="C1" s="2" t="s">
        <v>1</v>
      </c>
      <c r="D1" s="2" t="s">
        <v>2</v>
      </c>
      <c r="Q1" s="128" t="s">
        <v>142</v>
      </c>
      <c r="R1" s="128" t="s">
        <v>143</v>
      </c>
    </row>
    <row r="2" spans="1:18" x14ac:dyDescent="0.25">
      <c r="A2" s="250">
        <v>0</v>
      </c>
      <c r="B2" s="8">
        <v>24149</v>
      </c>
      <c r="C2" s="2">
        <f t="shared" ref="C2:D21" si="0">0.96*(100)</f>
        <v>96</v>
      </c>
      <c r="D2" s="2">
        <f t="shared" si="0"/>
        <v>96</v>
      </c>
      <c r="J2" s="7">
        <v>0</v>
      </c>
      <c r="K2" s="8">
        <v>23211</v>
      </c>
      <c r="L2" s="2">
        <v>96</v>
      </c>
      <c r="M2" s="2">
        <v>96</v>
      </c>
      <c r="O2" s="251">
        <v>0</v>
      </c>
      <c r="P2" s="251">
        <f>B2/K2-1</f>
        <v>4.0411873680582522E-2</v>
      </c>
      <c r="Q2" s="2">
        <f>C2-L2</f>
        <v>0</v>
      </c>
      <c r="R2" s="2">
        <f>D2-M2</f>
        <v>0</v>
      </c>
    </row>
    <row r="3" spans="1:18" x14ac:dyDescent="0.25">
      <c r="A3" s="8">
        <v>24150</v>
      </c>
      <c r="B3" s="8">
        <v>25756</v>
      </c>
      <c r="C3" s="2">
        <f t="shared" si="0"/>
        <v>96</v>
      </c>
      <c r="D3" s="2">
        <f t="shared" si="0"/>
        <v>96</v>
      </c>
      <c r="J3" s="8">
        <v>23212</v>
      </c>
      <c r="K3" s="8">
        <v>24756</v>
      </c>
      <c r="L3" s="2">
        <v>96</v>
      </c>
      <c r="M3" s="2">
        <v>96</v>
      </c>
      <c r="O3" s="251">
        <f t="shared" ref="O3:P66" si="1">A3/J3-1</f>
        <v>4.0410132689987943E-2</v>
      </c>
      <c r="P3" s="251">
        <f t="shared" si="1"/>
        <v>4.0394247859104837E-2</v>
      </c>
      <c r="Q3" s="2">
        <f t="shared" ref="Q3:Q66" si="2">C3-L3</f>
        <v>0</v>
      </c>
      <c r="R3" s="2">
        <f t="shared" ref="R3:R66" si="3">D3-M3</f>
        <v>0</v>
      </c>
    </row>
    <row r="4" spans="1:18" x14ac:dyDescent="0.25">
      <c r="A4" s="8">
        <v>25757</v>
      </c>
      <c r="B4" s="8">
        <v>27363</v>
      </c>
      <c r="C4" s="2">
        <f t="shared" si="0"/>
        <v>96</v>
      </c>
      <c r="D4" s="2">
        <f t="shared" si="0"/>
        <v>96</v>
      </c>
      <c r="G4" s="128">
        <f>(A4/A3-1)*100</f>
        <v>6.6542443064182111</v>
      </c>
      <c r="J4" s="8">
        <v>24757</v>
      </c>
      <c r="K4" s="8">
        <v>26300</v>
      </c>
      <c r="L4" s="2">
        <v>96</v>
      </c>
      <c r="M4" s="2">
        <v>96</v>
      </c>
      <c r="O4" s="251">
        <f t="shared" si="1"/>
        <v>4.0392616229753209E-2</v>
      </c>
      <c r="P4" s="251">
        <f t="shared" si="1"/>
        <v>4.0418250950570389E-2</v>
      </c>
      <c r="Q4" s="2">
        <f t="shared" si="2"/>
        <v>0</v>
      </c>
      <c r="R4" s="2">
        <f t="shared" si="3"/>
        <v>0</v>
      </c>
    </row>
    <row r="5" spans="1:18" x14ac:dyDescent="0.25">
      <c r="A5" s="8">
        <v>27364</v>
      </c>
      <c r="B5" s="8">
        <v>28973</v>
      </c>
      <c r="C5" s="2">
        <f t="shared" si="0"/>
        <v>96</v>
      </c>
      <c r="D5" s="2">
        <f t="shared" si="0"/>
        <v>96</v>
      </c>
      <c r="G5" s="128">
        <f t="shared" ref="G5:G68" si="4">(A5/A4-1)*100</f>
        <v>6.2390806382730979</v>
      </c>
      <c r="J5" s="8">
        <v>26301</v>
      </c>
      <c r="K5" s="8">
        <v>27848</v>
      </c>
      <c r="L5" s="2">
        <v>96</v>
      </c>
      <c r="M5" s="2">
        <v>96</v>
      </c>
      <c r="O5" s="251">
        <f t="shared" si="1"/>
        <v>4.0416714193376668E-2</v>
      </c>
      <c r="P5" s="251">
        <f t="shared" si="1"/>
        <v>4.03978741740878E-2</v>
      </c>
      <c r="Q5" s="2">
        <f t="shared" si="2"/>
        <v>0</v>
      </c>
      <c r="R5" s="2">
        <f t="shared" si="3"/>
        <v>0</v>
      </c>
    </row>
    <row r="6" spans="1:18" x14ac:dyDescent="0.25">
      <c r="A6" s="8">
        <v>28974</v>
      </c>
      <c r="B6" s="8">
        <v>30579</v>
      </c>
      <c r="C6" s="2">
        <f t="shared" si="0"/>
        <v>96</v>
      </c>
      <c r="D6" s="2">
        <f t="shared" si="0"/>
        <v>96</v>
      </c>
      <c r="G6" s="128">
        <f t="shared" si="4"/>
        <v>5.8836427422891413</v>
      </c>
      <c r="J6" s="8">
        <v>27849</v>
      </c>
      <c r="K6" s="8">
        <v>29392</v>
      </c>
      <c r="L6" s="2">
        <v>96</v>
      </c>
      <c r="M6" s="2">
        <v>96</v>
      </c>
      <c r="O6" s="251">
        <f t="shared" si="1"/>
        <v>4.0396423569966533E-2</v>
      </c>
      <c r="P6" s="251">
        <f t="shared" si="1"/>
        <v>4.038513881328254E-2</v>
      </c>
      <c r="Q6" s="2">
        <f t="shared" si="2"/>
        <v>0</v>
      </c>
      <c r="R6" s="2">
        <f t="shared" si="3"/>
        <v>0</v>
      </c>
    </row>
    <row r="7" spans="1:18" x14ac:dyDescent="0.25">
      <c r="A7" s="8">
        <v>30580</v>
      </c>
      <c r="B7" s="8">
        <v>32189</v>
      </c>
      <c r="C7" s="2">
        <f t="shared" si="0"/>
        <v>96</v>
      </c>
      <c r="D7" s="2">
        <f t="shared" si="0"/>
        <v>96</v>
      </c>
      <c r="G7" s="128">
        <f t="shared" si="4"/>
        <v>5.542900531511008</v>
      </c>
      <c r="J7" s="8">
        <v>29393</v>
      </c>
      <c r="K7" s="8">
        <v>30939</v>
      </c>
      <c r="L7" s="2">
        <v>96</v>
      </c>
      <c r="M7" s="2">
        <v>96</v>
      </c>
      <c r="O7" s="251">
        <f t="shared" si="1"/>
        <v>4.038376484196915E-2</v>
      </c>
      <c r="P7" s="251">
        <f t="shared" si="1"/>
        <v>4.0402081515239718E-2</v>
      </c>
      <c r="Q7" s="2">
        <f t="shared" si="2"/>
        <v>0</v>
      </c>
      <c r="R7" s="2">
        <f t="shared" si="3"/>
        <v>0</v>
      </c>
    </row>
    <row r="8" spans="1:18" x14ac:dyDescent="0.25">
      <c r="A8" s="8">
        <v>32190</v>
      </c>
      <c r="B8" s="8">
        <v>33795</v>
      </c>
      <c r="C8" s="2">
        <f t="shared" si="0"/>
        <v>96</v>
      </c>
      <c r="D8" s="2">
        <f t="shared" si="0"/>
        <v>96</v>
      </c>
      <c r="G8" s="128">
        <f t="shared" si="4"/>
        <v>5.2648790058861916</v>
      </c>
      <c r="J8" s="8">
        <v>30940</v>
      </c>
      <c r="K8" s="8">
        <v>32483</v>
      </c>
      <c r="L8" s="2">
        <v>96</v>
      </c>
      <c r="M8" s="2">
        <v>96</v>
      </c>
      <c r="O8" s="251">
        <f t="shared" si="1"/>
        <v>4.040077569489342E-2</v>
      </c>
      <c r="P8" s="251">
        <f t="shared" si="1"/>
        <v>4.0390358033432827E-2</v>
      </c>
      <c r="Q8" s="2">
        <f t="shared" si="2"/>
        <v>0</v>
      </c>
      <c r="R8" s="2">
        <f t="shared" si="3"/>
        <v>0</v>
      </c>
    </row>
    <row r="9" spans="1:18" x14ac:dyDescent="0.25">
      <c r="A9" s="8">
        <v>33796</v>
      </c>
      <c r="B9" s="8">
        <v>35400</v>
      </c>
      <c r="C9" s="2">
        <f t="shared" si="0"/>
        <v>96</v>
      </c>
      <c r="D9" s="2">
        <f t="shared" si="0"/>
        <v>96</v>
      </c>
      <c r="G9" s="128">
        <f t="shared" si="4"/>
        <v>4.9891270580925795</v>
      </c>
      <c r="J9" s="8">
        <v>32484</v>
      </c>
      <c r="K9" s="8">
        <v>34025</v>
      </c>
      <c r="L9" s="2">
        <v>96</v>
      </c>
      <c r="M9" s="2">
        <v>96</v>
      </c>
      <c r="O9" s="251">
        <f t="shared" si="1"/>
        <v>4.0389114641053991E-2</v>
      </c>
      <c r="P9" s="251">
        <f t="shared" si="1"/>
        <v>4.0411462160176326E-2</v>
      </c>
      <c r="Q9" s="2">
        <f t="shared" si="2"/>
        <v>0</v>
      </c>
      <c r="R9" s="2">
        <f t="shared" si="3"/>
        <v>0</v>
      </c>
    </row>
    <row r="10" spans="1:18" x14ac:dyDescent="0.25">
      <c r="A10" s="8">
        <v>35401</v>
      </c>
      <c r="B10" s="8">
        <v>37129</v>
      </c>
      <c r="C10" s="2">
        <f t="shared" si="0"/>
        <v>96</v>
      </c>
      <c r="D10" s="2">
        <f t="shared" si="0"/>
        <v>96</v>
      </c>
      <c r="G10" s="128">
        <f t="shared" si="4"/>
        <v>4.7490827316842177</v>
      </c>
      <c r="J10" s="8">
        <v>34026</v>
      </c>
      <c r="K10" s="8">
        <v>35687</v>
      </c>
      <c r="L10" s="2">
        <v>96</v>
      </c>
      <c r="M10" s="2">
        <v>96</v>
      </c>
      <c r="O10" s="251">
        <f t="shared" si="1"/>
        <v>4.0410274495973564E-2</v>
      </c>
      <c r="P10" s="251">
        <f t="shared" si="1"/>
        <v>4.0406870849328813E-2</v>
      </c>
      <c r="Q10" s="2">
        <f t="shared" si="2"/>
        <v>0</v>
      </c>
      <c r="R10" s="2">
        <f t="shared" si="3"/>
        <v>0</v>
      </c>
    </row>
    <row r="11" spans="1:18" x14ac:dyDescent="0.25">
      <c r="A11" s="8">
        <v>37130</v>
      </c>
      <c r="B11" s="8">
        <v>38855</v>
      </c>
      <c r="C11" s="2">
        <f t="shared" si="0"/>
        <v>96</v>
      </c>
      <c r="D11" s="2">
        <f t="shared" si="0"/>
        <v>96</v>
      </c>
      <c r="G11" s="128">
        <f t="shared" si="4"/>
        <v>4.8840428236490485</v>
      </c>
      <c r="J11" s="8">
        <v>35688</v>
      </c>
      <c r="K11" s="8">
        <v>37346</v>
      </c>
      <c r="L11" s="2">
        <v>96</v>
      </c>
      <c r="M11" s="2">
        <v>96</v>
      </c>
      <c r="O11" s="251">
        <f t="shared" si="1"/>
        <v>4.0405738623626952E-2</v>
      </c>
      <c r="P11" s="251">
        <f t="shared" si="1"/>
        <v>4.0405933701065599E-2</v>
      </c>
      <c r="Q11" s="2">
        <f t="shared" si="2"/>
        <v>0</v>
      </c>
      <c r="R11" s="2">
        <f t="shared" si="3"/>
        <v>0</v>
      </c>
    </row>
    <row r="12" spans="1:18" x14ac:dyDescent="0.25">
      <c r="A12" s="8">
        <v>38856</v>
      </c>
      <c r="B12" s="8">
        <v>40586</v>
      </c>
      <c r="C12" s="2">
        <f t="shared" si="0"/>
        <v>96</v>
      </c>
      <c r="D12" s="2">
        <f t="shared" si="0"/>
        <v>96</v>
      </c>
      <c r="G12" s="128">
        <f t="shared" si="4"/>
        <v>4.6485321842176131</v>
      </c>
      <c r="J12" s="8">
        <v>37347</v>
      </c>
      <c r="K12" s="8">
        <v>39010</v>
      </c>
      <c r="L12" s="2">
        <v>96</v>
      </c>
      <c r="M12" s="2">
        <v>96</v>
      </c>
      <c r="O12" s="251">
        <f t="shared" si="1"/>
        <v>4.0404851795324825E-2</v>
      </c>
      <c r="P12" s="251">
        <f t="shared" si="1"/>
        <v>4.0399897462189083E-2</v>
      </c>
      <c r="Q12" s="2">
        <f t="shared" si="2"/>
        <v>0</v>
      </c>
      <c r="R12" s="2">
        <f t="shared" si="3"/>
        <v>0</v>
      </c>
    </row>
    <row r="13" spans="1:18" x14ac:dyDescent="0.25">
      <c r="A13" s="8">
        <v>40587</v>
      </c>
      <c r="B13" s="8">
        <v>42313</v>
      </c>
      <c r="C13" s="2">
        <f t="shared" si="0"/>
        <v>96</v>
      </c>
      <c r="D13" s="2">
        <f t="shared" si="0"/>
        <v>96</v>
      </c>
      <c r="G13" s="128">
        <f t="shared" si="4"/>
        <v>4.4549104385423144</v>
      </c>
      <c r="J13" s="8">
        <v>39011</v>
      </c>
      <c r="K13" s="8">
        <v>40670</v>
      </c>
      <c r="L13" s="2">
        <v>96</v>
      </c>
      <c r="M13" s="2">
        <v>96</v>
      </c>
      <c r="O13" s="251">
        <f t="shared" si="1"/>
        <v>4.0398861859475499E-2</v>
      </c>
      <c r="P13" s="251">
        <f t="shared" si="1"/>
        <v>4.0398328005901263E-2</v>
      </c>
      <c r="Q13" s="2">
        <f t="shared" si="2"/>
        <v>0</v>
      </c>
      <c r="R13" s="2">
        <f t="shared" si="3"/>
        <v>0</v>
      </c>
    </row>
    <row r="14" spans="1:18" x14ac:dyDescent="0.25">
      <c r="A14" s="8">
        <v>42314</v>
      </c>
      <c r="B14" s="8">
        <v>44046</v>
      </c>
      <c r="C14" s="2">
        <f t="shared" si="0"/>
        <v>96</v>
      </c>
      <c r="D14" s="2">
        <f t="shared" si="0"/>
        <v>96</v>
      </c>
      <c r="G14" s="128">
        <f t="shared" si="4"/>
        <v>4.2550570379678243</v>
      </c>
      <c r="J14" s="8">
        <v>40671</v>
      </c>
      <c r="K14" s="8">
        <v>42336</v>
      </c>
      <c r="L14" s="2">
        <v>96</v>
      </c>
      <c r="M14" s="2">
        <v>96</v>
      </c>
      <c r="O14" s="251">
        <f t="shared" si="1"/>
        <v>4.0397334710235766E-2</v>
      </c>
      <c r="P14" s="251">
        <f t="shared" si="1"/>
        <v>4.0391156462584954E-2</v>
      </c>
      <c r="Q14" s="2">
        <f t="shared" si="2"/>
        <v>0</v>
      </c>
      <c r="R14" s="2">
        <f t="shared" si="3"/>
        <v>0</v>
      </c>
    </row>
    <row r="15" spans="1:18" x14ac:dyDescent="0.25">
      <c r="A15" s="8">
        <v>44047</v>
      </c>
      <c r="B15" s="8">
        <v>45776</v>
      </c>
      <c r="C15" s="2">
        <f t="shared" si="0"/>
        <v>96</v>
      </c>
      <c r="D15" s="2">
        <f t="shared" si="0"/>
        <v>96</v>
      </c>
      <c r="G15" s="128">
        <f t="shared" si="4"/>
        <v>4.0955712057475058</v>
      </c>
      <c r="J15" s="8">
        <v>42337</v>
      </c>
      <c r="K15" s="8">
        <v>43998</v>
      </c>
      <c r="L15" s="2">
        <v>96</v>
      </c>
      <c r="M15" s="2">
        <v>96</v>
      </c>
      <c r="O15" s="251">
        <f t="shared" si="1"/>
        <v>4.039020242341218E-2</v>
      </c>
      <c r="P15" s="251">
        <f t="shared" si="1"/>
        <v>4.0410927769443994E-2</v>
      </c>
      <c r="Q15" s="2">
        <f t="shared" si="2"/>
        <v>0</v>
      </c>
      <c r="R15" s="2">
        <f t="shared" si="3"/>
        <v>0</v>
      </c>
    </row>
    <row r="16" spans="1:18" x14ac:dyDescent="0.25">
      <c r="A16" s="8">
        <v>45777</v>
      </c>
      <c r="B16" s="8">
        <v>47546</v>
      </c>
      <c r="C16" s="2">
        <f t="shared" si="0"/>
        <v>96</v>
      </c>
      <c r="D16" s="2">
        <f t="shared" si="0"/>
        <v>96</v>
      </c>
      <c r="G16" s="128">
        <f t="shared" si="4"/>
        <v>3.9276227665902441</v>
      </c>
      <c r="J16" s="8">
        <v>43999</v>
      </c>
      <c r="K16" s="8">
        <v>45700</v>
      </c>
      <c r="L16" s="2">
        <v>96</v>
      </c>
      <c r="M16" s="2">
        <v>96</v>
      </c>
      <c r="O16" s="251">
        <f t="shared" si="1"/>
        <v>4.0410009318393669E-2</v>
      </c>
      <c r="P16" s="251">
        <f t="shared" si="1"/>
        <v>4.039387308533926E-2</v>
      </c>
      <c r="Q16" s="2">
        <f t="shared" si="2"/>
        <v>0</v>
      </c>
      <c r="R16" s="2">
        <f t="shared" si="3"/>
        <v>0</v>
      </c>
    </row>
    <row r="17" spans="1:18" x14ac:dyDescent="0.25">
      <c r="A17" s="8">
        <v>47547</v>
      </c>
      <c r="B17" s="8">
        <v>49318</v>
      </c>
      <c r="C17" s="2">
        <f t="shared" si="0"/>
        <v>96</v>
      </c>
      <c r="D17" s="2">
        <f t="shared" si="0"/>
        <v>96</v>
      </c>
      <c r="G17" s="128">
        <f t="shared" si="4"/>
        <v>3.8665705485287472</v>
      </c>
      <c r="J17" s="8">
        <v>45701</v>
      </c>
      <c r="K17" s="8">
        <v>47403</v>
      </c>
      <c r="L17" s="2">
        <v>96</v>
      </c>
      <c r="M17" s="2">
        <v>96</v>
      </c>
      <c r="O17" s="251">
        <f t="shared" si="1"/>
        <v>4.0392989212489905E-2</v>
      </c>
      <c r="P17" s="251">
        <f t="shared" si="1"/>
        <v>4.0398287028247104E-2</v>
      </c>
      <c r="Q17" s="2">
        <f t="shared" si="2"/>
        <v>0</v>
      </c>
      <c r="R17" s="2">
        <f t="shared" si="3"/>
        <v>0</v>
      </c>
    </row>
    <row r="18" spans="1:18" s="254" customFormat="1" x14ac:dyDescent="0.25">
      <c r="A18" s="252">
        <v>49319</v>
      </c>
      <c r="B18" s="252">
        <v>51092</v>
      </c>
      <c r="C18" s="253">
        <f t="shared" si="0"/>
        <v>96</v>
      </c>
      <c r="D18" s="253">
        <f t="shared" si="0"/>
        <v>96</v>
      </c>
      <c r="G18" s="254">
        <f t="shared" si="4"/>
        <v>3.7268387069636422</v>
      </c>
      <c r="J18" s="252">
        <v>47404</v>
      </c>
      <c r="K18" s="252">
        <v>49108</v>
      </c>
      <c r="L18" s="253">
        <v>95.3</v>
      </c>
      <c r="M18" s="253">
        <v>95.6</v>
      </c>
      <c r="O18" s="255">
        <f t="shared" si="1"/>
        <v>4.0397434815627298E-2</v>
      </c>
      <c r="P18" s="255">
        <f t="shared" si="1"/>
        <v>4.0400749368738387E-2</v>
      </c>
      <c r="Q18" s="253">
        <f t="shared" si="2"/>
        <v>0.70000000000000284</v>
      </c>
      <c r="R18" s="253">
        <f t="shared" si="3"/>
        <v>0.40000000000000568</v>
      </c>
    </row>
    <row r="19" spans="1:18" x14ac:dyDescent="0.25">
      <c r="A19" s="8">
        <v>51093</v>
      </c>
      <c r="B19" s="8">
        <v>52864</v>
      </c>
      <c r="C19" s="2">
        <f t="shared" si="0"/>
        <v>96</v>
      </c>
      <c r="D19" s="2">
        <f t="shared" si="0"/>
        <v>96</v>
      </c>
      <c r="G19" s="128">
        <f t="shared" si="4"/>
        <v>3.5969910176605335</v>
      </c>
      <c r="J19" s="8">
        <v>49109</v>
      </c>
      <c r="K19" s="8">
        <v>50811</v>
      </c>
      <c r="L19" s="2">
        <v>94.6</v>
      </c>
      <c r="M19" s="2">
        <v>95.199999999999989</v>
      </c>
      <c r="O19" s="251">
        <f t="shared" si="1"/>
        <v>4.0399926693681421E-2</v>
      </c>
      <c r="P19" s="251">
        <f t="shared" si="1"/>
        <v>4.0404636791246062E-2</v>
      </c>
      <c r="Q19" s="2">
        <f t="shared" si="2"/>
        <v>1.4000000000000057</v>
      </c>
      <c r="R19" s="2">
        <f t="shared" si="3"/>
        <v>0.80000000000001137</v>
      </c>
    </row>
    <row r="20" spans="1:18" x14ac:dyDescent="0.25">
      <c r="A20" s="8">
        <v>52865</v>
      </c>
      <c r="B20" s="8">
        <v>54641</v>
      </c>
      <c r="C20" s="2">
        <f t="shared" si="0"/>
        <v>96</v>
      </c>
      <c r="D20" s="2">
        <f t="shared" si="0"/>
        <v>96</v>
      </c>
      <c r="G20" s="128">
        <f t="shared" si="4"/>
        <v>3.4681854657193645</v>
      </c>
      <c r="J20" s="8">
        <v>50812</v>
      </c>
      <c r="K20" s="8">
        <v>52519</v>
      </c>
      <c r="L20" s="2">
        <v>93.7</v>
      </c>
      <c r="M20" s="2">
        <v>94.8</v>
      </c>
      <c r="O20" s="251">
        <f t="shared" si="1"/>
        <v>4.0403841612217661E-2</v>
      </c>
      <c r="P20" s="251">
        <f t="shared" si="1"/>
        <v>4.0404425065214467E-2</v>
      </c>
      <c r="Q20" s="2">
        <f t="shared" si="2"/>
        <v>2.2999999999999972</v>
      </c>
      <c r="R20" s="2">
        <f t="shared" si="3"/>
        <v>1.2000000000000028</v>
      </c>
    </row>
    <row r="21" spans="1:18" x14ac:dyDescent="0.25">
      <c r="A21" s="8">
        <v>54642</v>
      </c>
      <c r="B21" s="8">
        <v>56412</v>
      </c>
      <c r="C21" s="2">
        <f t="shared" si="0"/>
        <v>96</v>
      </c>
      <c r="D21" s="2">
        <f t="shared" si="0"/>
        <v>96</v>
      </c>
      <c r="G21" s="128">
        <f t="shared" si="4"/>
        <v>3.3613922254799977</v>
      </c>
      <c r="J21" s="8">
        <v>52520</v>
      </c>
      <c r="K21" s="8">
        <v>54221</v>
      </c>
      <c r="L21" s="2">
        <v>93.100000000000009</v>
      </c>
      <c r="M21" s="2">
        <v>94.5</v>
      </c>
      <c r="O21" s="251">
        <f t="shared" si="1"/>
        <v>4.0403655750190337E-2</v>
      </c>
      <c r="P21" s="251">
        <f t="shared" si="1"/>
        <v>4.0408697737039256E-2</v>
      </c>
      <c r="Q21" s="2">
        <f t="shared" si="2"/>
        <v>2.8999999999999915</v>
      </c>
      <c r="R21" s="2">
        <f t="shared" si="3"/>
        <v>1.5</v>
      </c>
    </row>
    <row r="22" spans="1:18" x14ac:dyDescent="0.25">
      <c r="A22" s="8">
        <v>56413</v>
      </c>
      <c r="B22" s="8">
        <v>58184</v>
      </c>
      <c r="C22" s="2">
        <f>0.955*(100)</f>
        <v>95.5</v>
      </c>
      <c r="D22" s="2">
        <f>0.956*(100)</f>
        <v>95.6</v>
      </c>
      <c r="G22" s="128">
        <f t="shared" si="4"/>
        <v>3.2410965923648449</v>
      </c>
      <c r="J22" s="8">
        <v>54222</v>
      </c>
      <c r="K22" s="8">
        <v>55925</v>
      </c>
      <c r="L22" s="2">
        <v>92.300000000000011</v>
      </c>
      <c r="M22" s="2">
        <v>94.5</v>
      </c>
      <c r="O22" s="251">
        <f t="shared" si="1"/>
        <v>4.0407952491608556E-2</v>
      </c>
      <c r="P22" s="251">
        <f t="shared" si="1"/>
        <v>4.0393383996423893E-2</v>
      </c>
      <c r="Q22" s="2">
        <f t="shared" si="2"/>
        <v>3.1999999999999886</v>
      </c>
      <c r="R22" s="2">
        <f t="shared" si="3"/>
        <v>1.0999999999999943</v>
      </c>
    </row>
    <row r="23" spans="1:18" x14ac:dyDescent="0.25">
      <c r="A23" s="8">
        <v>58185</v>
      </c>
      <c r="B23" s="8">
        <v>59957</v>
      </c>
      <c r="C23" s="2">
        <f>0.948*(100)</f>
        <v>94.8</v>
      </c>
      <c r="D23" s="2">
        <f>0.956*(100)</f>
        <v>95.6</v>
      </c>
      <c r="G23" s="128">
        <f t="shared" si="4"/>
        <v>3.1411199546203861</v>
      </c>
      <c r="J23" s="8">
        <v>55926</v>
      </c>
      <c r="K23" s="8">
        <v>57629</v>
      </c>
      <c r="L23" s="2">
        <v>91.600000000000009</v>
      </c>
      <c r="M23" s="2">
        <v>94.5</v>
      </c>
      <c r="O23" s="251">
        <f t="shared" si="1"/>
        <v>4.0392661731573964E-2</v>
      </c>
      <c r="P23" s="251">
        <f t="shared" si="1"/>
        <v>4.0396328237519263E-2</v>
      </c>
      <c r="Q23" s="2">
        <f t="shared" si="2"/>
        <v>3.1999999999999886</v>
      </c>
      <c r="R23" s="2">
        <f t="shared" si="3"/>
        <v>1.0999999999999943</v>
      </c>
    </row>
    <row r="24" spans="1:18" x14ac:dyDescent="0.25">
      <c r="A24" s="8">
        <v>59958</v>
      </c>
      <c r="B24" s="8">
        <v>61895</v>
      </c>
      <c r="C24" s="2">
        <f>0.939*(100)</f>
        <v>93.899999999999991</v>
      </c>
      <c r="D24" s="2">
        <f>0.956*(100)</f>
        <v>95.6</v>
      </c>
      <c r="G24" s="128">
        <f t="shared" si="4"/>
        <v>3.0471771075019305</v>
      </c>
      <c r="J24" s="8">
        <v>57630</v>
      </c>
      <c r="K24" s="8">
        <v>59492</v>
      </c>
      <c r="L24" s="2">
        <v>90.7</v>
      </c>
      <c r="M24" s="2">
        <v>94.5</v>
      </c>
      <c r="O24" s="251">
        <f t="shared" si="1"/>
        <v>4.0395627277459711E-2</v>
      </c>
      <c r="P24" s="251">
        <f t="shared" si="1"/>
        <v>4.0391985477038927E-2</v>
      </c>
      <c r="Q24" s="2">
        <f t="shared" si="2"/>
        <v>3.1999999999999886</v>
      </c>
      <c r="R24" s="2">
        <f t="shared" si="3"/>
        <v>1.0999999999999943</v>
      </c>
    </row>
    <row r="25" spans="1:18" x14ac:dyDescent="0.25">
      <c r="A25" s="8">
        <v>61896</v>
      </c>
      <c r="B25" s="8">
        <v>65695</v>
      </c>
      <c r="C25" s="2">
        <f>0.924*(100)</f>
        <v>92.4</v>
      </c>
      <c r="D25" s="2">
        <f>0.956*(100)</f>
        <v>95.6</v>
      </c>
      <c r="G25" s="128">
        <f t="shared" si="4"/>
        <v>3.2322625838086649</v>
      </c>
      <c r="J25" s="8">
        <v>59493</v>
      </c>
      <c r="K25" s="8">
        <v>63144</v>
      </c>
      <c r="L25" s="2">
        <v>89.2</v>
      </c>
      <c r="M25" s="2">
        <v>94.5</v>
      </c>
      <c r="O25" s="251">
        <f t="shared" si="1"/>
        <v>4.0391306540265237E-2</v>
      </c>
      <c r="P25" s="251">
        <f t="shared" si="1"/>
        <v>4.0399721272013078E-2</v>
      </c>
      <c r="Q25" s="2">
        <f t="shared" si="2"/>
        <v>3.2000000000000028</v>
      </c>
      <c r="R25" s="2">
        <f t="shared" si="3"/>
        <v>1.0999999999999943</v>
      </c>
    </row>
    <row r="26" spans="1:18" x14ac:dyDescent="0.25">
      <c r="A26" s="8">
        <v>65696</v>
      </c>
      <c r="B26" s="8">
        <v>69492</v>
      </c>
      <c r="C26" s="2">
        <f>0.916*(100)</f>
        <v>91.600000000000009</v>
      </c>
      <c r="D26" s="2">
        <f>0.952*(100)</f>
        <v>95.199999999999989</v>
      </c>
      <c r="G26" s="128">
        <f t="shared" si="4"/>
        <v>6.1393304898539558</v>
      </c>
      <c r="J26" s="8">
        <v>63145</v>
      </c>
      <c r="K26" s="8">
        <v>66794</v>
      </c>
      <c r="L26" s="2">
        <v>88.4</v>
      </c>
      <c r="M26" s="2">
        <v>94.1</v>
      </c>
      <c r="O26" s="251">
        <f t="shared" si="1"/>
        <v>4.039908147913529E-2</v>
      </c>
      <c r="P26" s="251">
        <f t="shared" si="1"/>
        <v>4.0392849657154839E-2</v>
      </c>
      <c r="Q26" s="2">
        <f t="shared" si="2"/>
        <v>3.2000000000000028</v>
      </c>
      <c r="R26" s="2">
        <f t="shared" si="3"/>
        <v>1.0999999999999943</v>
      </c>
    </row>
    <row r="27" spans="1:18" x14ac:dyDescent="0.25">
      <c r="A27" s="8">
        <v>69493</v>
      </c>
      <c r="B27" s="8">
        <v>73292</v>
      </c>
      <c r="C27" s="2">
        <f>0.905*(100)</f>
        <v>90.5</v>
      </c>
      <c r="D27" s="2">
        <f>0.946*(100)</f>
        <v>94.6</v>
      </c>
      <c r="G27" s="128">
        <f t="shared" si="4"/>
        <v>5.7796517291768046</v>
      </c>
      <c r="J27" s="8">
        <v>66795</v>
      </c>
      <c r="K27" s="8">
        <v>70446</v>
      </c>
      <c r="L27" s="2">
        <v>87.3</v>
      </c>
      <c r="M27" s="2">
        <v>93.5</v>
      </c>
      <c r="O27" s="251">
        <f t="shared" si="1"/>
        <v>4.0392244928512566E-2</v>
      </c>
      <c r="P27" s="251">
        <f t="shared" si="1"/>
        <v>4.0399738807029406E-2</v>
      </c>
      <c r="Q27" s="2">
        <f t="shared" si="2"/>
        <v>3.2000000000000028</v>
      </c>
      <c r="R27" s="2">
        <f t="shared" si="3"/>
        <v>1.0999999999999943</v>
      </c>
    </row>
    <row r="28" spans="1:18" x14ac:dyDescent="0.25">
      <c r="A28" s="8">
        <v>73293</v>
      </c>
      <c r="B28" s="8">
        <v>77094</v>
      </c>
      <c r="C28" s="2">
        <f>0.882*(100)</f>
        <v>88.2</v>
      </c>
      <c r="D28" s="2">
        <f>0.942*(100)</f>
        <v>94.199999999999989</v>
      </c>
      <c r="G28" s="128">
        <f t="shared" si="4"/>
        <v>5.4681766508857033</v>
      </c>
      <c r="J28" s="8">
        <v>70447</v>
      </c>
      <c r="K28" s="8">
        <v>74100</v>
      </c>
      <c r="L28" s="2">
        <v>85</v>
      </c>
      <c r="M28" s="2">
        <v>93.100000000000009</v>
      </c>
      <c r="O28" s="251">
        <f t="shared" si="1"/>
        <v>4.0399165329964459E-2</v>
      </c>
      <c r="P28" s="251">
        <f t="shared" si="1"/>
        <v>4.0404858299595059E-2</v>
      </c>
      <c r="Q28" s="2">
        <f t="shared" si="2"/>
        <v>3.2000000000000028</v>
      </c>
      <c r="R28" s="2">
        <f t="shared" si="3"/>
        <v>1.0999999999999801</v>
      </c>
    </row>
    <row r="29" spans="1:18" x14ac:dyDescent="0.25">
      <c r="A29" s="8">
        <v>77095</v>
      </c>
      <c r="B29" s="8">
        <v>80891</v>
      </c>
      <c r="C29" s="2">
        <f>0.859*(100)</f>
        <v>85.9</v>
      </c>
      <c r="D29" s="2">
        <f>0.939*(100)</f>
        <v>93.899999999999991</v>
      </c>
      <c r="G29" s="128">
        <f t="shared" si="4"/>
        <v>5.1873985237335107</v>
      </c>
      <c r="J29" s="8">
        <v>74101</v>
      </c>
      <c r="K29" s="8">
        <v>77750</v>
      </c>
      <c r="L29" s="2">
        <v>82.699999999999989</v>
      </c>
      <c r="M29" s="2">
        <v>92.800000000000011</v>
      </c>
      <c r="O29" s="251">
        <f t="shared" si="1"/>
        <v>4.0404313032212702E-2</v>
      </c>
      <c r="P29" s="251">
        <f t="shared" si="1"/>
        <v>4.0398713826366617E-2</v>
      </c>
      <c r="Q29" s="2">
        <f t="shared" si="2"/>
        <v>3.2000000000000171</v>
      </c>
      <c r="R29" s="2">
        <f t="shared" si="3"/>
        <v>1.0999999999999801</v>
      </c>
    </row>
    <row r="30" spans="1:18" x14ac:dyDescent="0.25">
      <c r="A30" s="8">
        <v>80892</v>
      </c>
      <c r="B30" s="8">
        <v>84693</v>
      </c>
      <c r="C30" s="2">
        <f>0.837*(100)</f>
        <v>83.7</v>
      </c>
      <c r="D30" s="2">
        <f>0.932*(100)</f>
        <v>93.2</v>
      </c>
      <c r="G30" s="128">
        <f t="shared" si="4"/>
        <v>4.9250924184447653</v>
      </c>
      <c r="J30" s="8">
        <v>77751</v>
      </c>
      <c r="K30" s="8">
        <v>81404</v>
      </c>
      <c r="L30" s="2">
        <v>80.5</v>
      </c>
      <c r="M30" s="2">
        <v>92.100000000000009</v>
      </c>
      <c r="O30" s="251">
        <f t="shared" si="1"/>
        <v>4.0398194235443885E-2</v>
      </c>
      <c r="P30" s="251">
        <f t="shared" si="1"/>
        <v>4.0403419979362143E-2</v>
      </c>
      <c r="Q30" s="2">
        <f t="shared" si="2"/>
        <v>3.2000000000000028</v>
      </c>
      <c r="R30" s="2">
        <f t="shared" si="3"/>
        <v>1.0999999999999943</v>
      </c>
    </row>
    <row r="31" spans="1:18" x14ac:dyDescent="0.25">
      <c r="A31" s="8">
        <v>84694</v>
      </c>
      <c r="B31" s="8">
        <v>88491</v>
      </c>
      <c r="C31" s="2">
        <f>0.812*(100)</f>
        <v>81.2</v>
      </c>
      <c r="D31" s="2">
        <f>0.927*(100)</f>
        <v>92.7</v>
      </c>
      <c r="G31" s="128">
        <f t="shared" si="4"/>
        <v>4.7000939524304064</v>
      </c>
      <c r="J31" s="8">
        <v>81405</v>
      </c>
      <c r="K31" s="8">
        <v>85055</v>
      </c>
      <c r="L31" s="2">
        <v>78</v>
      </c>
      <c r="M31" s="2">
        <v>91.600000000000009</v>
      </c>
      <c r="O31" s="251">
        <f t="shared" si="1"/>
        <v>4.0402923653338307E-2</v>
      </c>
      <c r="P31" s="251">
        <f t="shared" si="1"/>
        <v>4.0397389924166749E-2</v>
      </c>
      <c r="Q31" s="2">
        <f t="shared" si="2"/>
        <v>3.2000000000000028</v>
      </c>
      <c r="R31" s="2">
        <f t="shared" si="3"/>
        <v>1.0999999999999943</v>
      </c>
    </row>
    <row r="32" spans="1:18" x14ac:dyDescent="0.25">
      <c r="A32" s="8">
        <v>88492</v>
      </c>
      <c r="B32" s="8">
        <v>92291</v>
      </c>
      <c r="C32" s="2">
        <f>0.789*(100)</f>
        <v>78.900000000000006</v>
      </c>
      <c r="D32" s="2">
        <f>0.922*(100)</f>
        <v>92.2</v>
      </c>
      <c r="G32" s="128">
        <f t="shared" si="4"/>
        <v>4.4843790587290711</v>
      </c>
      <c r="J32" s="8">
        <v>85056</v>
      </c>
      <c r="K32" s="8">
        <v>88707</v>
      </c>
      <c r="L32" s="2">
        <v>75.7</v>
      </c>
      <c r="M32" s="2">
        <v>91.100000000000009</v>
      </c>
      <c r="O32" s="251">
        <f t="shared" si="1"/>
        <v>4.0396914973664488E-2</v>
      </c>
      <c r="P32" s="251">
        <f t="shared" si="1"/>
        <v>4.0402673971614345E-2</v>
      </c>
      <c r="Q32" s="2">
        <f t="shared" si="2"/>
        <v>3.2000000000000028</v>
      </c>
      <c r="R32" s="2">
        <f t="shared" si="3"/>
        <v>1.0999999999999943</v>
      </c>
    </row>
    <row r="33" spans="1:18" x14ac:dyDescent="0.25">
      <c r="A33" s="8">
        <v>92292</v>
      </c>
      <c r="B33" s="8">
        <v>96091</v>
      </c>
      <c r="C33" s="2">
        <f>0.767*(100)</f>
        <v>76.7</v>
      </c>
      <c r="D33" s="2">
        <f>0.915*(100)</f>
        <v>91.5</v>
      </c>
      <c r="G33" s="128">
        <f t="shared" si="4"/>
        <v>4.2941734846087876</v>
      </c>
      <c r="J33" s="8">
        <v>88708</v>
      </c>
      <c r="K33" s="8">
        <v>92360</v>
      </c>
      <c r="L33" s="2">
        <v>73.5</v>
      </c>
      <c r="M33" s="2">
        <v>90.4</v>
      </c>
      <c r="O33" s="251">
        <f t="shared" si="1"/>
        <v>4.0402218514677291E-2</v>
      </c>
      <c r="P33" s="251">
        <f t="shared" si="1"/>
        <v>4.0396275443915108E-2</v>
      </c>
      <c r="Q33" s="2">
        <f t="shared" si="2"/>
        <v>3.2000000000000028</v>
      </c>
      <c r="R33" s="2">
        <f t="shared" si="3"/>
        <v>1.0999999999999943</v>
      </c>
    </row>
    <row r="34" spans="1:18" x14ac:dyDescent="0.25">
      <c r="A34" s="8">
        <v>96092</v>
      </c>
      <c r="B34" s="8">
        <v>99889</v>
      </c>
      <c r="C34" s="2">
        <f>0.743*(100)</f>
        <v>74.3</v>
      </c>
      <c r="D34" s="2">
        <f>0.909*(100)</f>
        <v>90.9</v>
      </c>
      <c r="G34" s="128">
        <f t="shared" si="4"/>
        <v>4.1173666189918912</v>
      </c>
      <c r="J34" s="8">
        <v>92361</v>
      </c>
      <c r="K34" s="8">
        <v>96010</v>
      </c>
      <c r="L34" s="2">
        <v>71.099999999999994</v>
      </c>
      <c r="M34" s="2">
        <v>89.8</v>
      </c>
      <c r="O34" s="251">
        <f t="shared" si="1"/>
        <v>4.0395838070181211E-2</v>
      </c>
      <c r="P34" s="251">
        <f t="shared" si="1"/>
        <v>4.0402041454015158E-2</v>
      </c>
      <c r="Q34" s="2">
        <f t="shared" si="2"/>
        <v>3.2000000000000028</v>
      </c>
      <c r="R34" s="2">
        <f t="shared" si="3"/>
        <v>1.1000000000000085</v>
      </c>
    </row>
    <row r="35" spans="1:18" x14ac:dyDescent="0.25">
      <c r="A35" s="8">
        <v>99890</v>
      </c>
      <c r="B35" s="8">
        <v>103694</v>
      </c>
      <c r="C35" s="2">
        <f>0.721*(100)</f>
        <v>72.099999999999994</v>
      </c>
      <c r="D35" s="2">
        <f>0.905*(100)</f>
        <v>90.5</v>
      </c>
      <c r="G35" s="128">
        <f t="shared" si="4"/>
        <v>3.9524622237022911</v>
      </c>
      <c r="J35" s="8">
        <v>96011</v>
      </c>
      <c r="K35" s="8">
        <v>99667</v>
      </c>
      <c r="L35" s="2">
        <v>68.899999999999991</v>
      </c>
      <c r="M35" s="2">
        <v>89.4</v>
      </c>
      <c r="O35" s="251">
        <f t="shared" si="1"/>
        <v>4.0401620647634084E-2</v>
      </c>
      <c r="P35" s="251">
        <f t="shared" si="1"/>
        <v>4.0404547141982716E-2</v>
      </c>
      <c r="Q35" s="2">
        <f t="shared" si="2"/>
        <v>3.2000000000000028</v>
      </c>
      <c r="R35" s="2">
        <f t="shared" si="3"/>
        <v>1.0999999999999943</v>
      </c>
    </row>
    <row r="36" spans="1:18" x14ac:dyDescent="0.25">
      <c r="A36" s="8">
        <v>103695</v>
      </c>
      <c r="B36" s="8">
        <v>107492</v>
      </c>
      <c r="C36" s="2">
        <f>0.696*(100)</f>
        <v>69.599999999999994</v>
      </c>
      <c r="D36" s="2">
        <f>0.902*(100)</f>
        <v>90.2</v>
      </c>
      <c r="G36" s="128">
        <f t="shared" si="4"/>
        <v>3.809190109120042</v>
      </c>
      <c r="J36" s="8">
        <v>99668</v>
      </c>
      <c r="K36" s="8">
        <v>103318</v>
      </c>
      <c r="L36" s="2">
        <v>66.400000000000006</v>
      </c>
      <c r="M36" s="2">
        <v>89.1</v>
      </c>
      <c r="O36" s="251">
        <f t="shared" si="1"/>
        <v>4.0404141750612022E-2</v>
      </c>
      <c r="P36" s="251">
        <f t="shared" si="1"/>
        <v>4.0399543158017082E-2</v>
      </c>
      <c r="Q36" s="2">
        <f t="shared" si="2"/>
        <v>3.1999999999999886</v>
      </c>
      <c r="R36" s="2">
        <f t="shared" si="3"/>
        <v>1.1000000000000085</v>
      </c>
    </row>
    <row r="37" spans="1:18" x14ac:dyDescent="0.25">
      <c r="A37" s="8">
        <v>107493</v>
      </c>
      <c r="B37" s="8">
        <v>111290</v>
      </c>
      <c r="C37" s="2">
        <f>0.673*(100)</f>
        <v>67.300000000000011</v>
      </c>
      <c r="D37" s="2">
        <f>0.895*(100)</f>
        <v>89.5</v>
      </c>
      <c r="G37" s="128">
        <f t="shared" si="4"/>
        <v>3.6626645450600348</v>
      </c>
      <c r="J37" s="8">
        <v>103319</v>
      </c>
      <c r="K37" s="8">
        <v>106968</v>
      </c>
      <c r="L37" s="2">
        <v>64.099999999999994</v>
      </c>
      <c r="M37" s="2">
        <v>88.4</v>
      </c>
      <c r="O37" s="251">
        <f t="shared" si="1"/>
        <v>4.0399152140458083E-2</v>
      </c>
      <c r="P37" s="251">
        <f t="shared" si="1"/>
        <v>4.04046069852666E-2</v>
      </c>
      <c r="Q37" s="2">
        <f t="shared" si="2"/>
        <v>3.2000000000000171</v>
      </c>
      <c r="R37" s="2">
        <f t="shared" si="3"/>
        <v>1.0999999999999943</v>
      </c>
    </row>
    <row r="38" spans="1:18" x14ac:dyDescent="0.25">
      <c r="A38" s="8">
        <v>111291</v>
      </c>
      <c r="B38" s="8">
        <v>115090</v>
      </c>
      <c r="C38" s="2">
        <f>0.651*(100)</f>
        <v>65.100000000000009</v>
      </c>
      <c r="D38" s="2">
        <f>0.891*(100)</f>
        <v>89.1</v>
      </c>
      <c r="G38" s="128">
        <f t="shared" si="4"/>
        <v>3.5332533281236866</v>
      </c>
      <c r="J38" s="8">
        <v>106969</v>
      </c>
      <c r="K38" s="8">
        <v>110621</v>
      </c>
      <c r="L38" s="2">
        <v>61.9</v>
      </c>
      <c r="M38" s="2">
        <v>88</v>
      </c>
      <c r="O38" s="251">
        <f t="shared" si="1"/>
        <v>4.0404229262683611E-2</v>
      </c>
      <c r="P38" s="251">
        <f t="shared" si="1"/>
        <v>4.0399200875059993E-2</v>
      </c>
      <c r="Q38" s="2">
        <f t="shared" si="2"/>
        <v>3.2000000000000099</v>
      </c>
      <c r="R38" s="2">
        <f t="shared" si="3"/>
        <v>1.0999999999999943</v>
      </c>
    </row>
    <row r="39" spans="1:18" x14ac:dyDescent="0.25">
      <c r="A39" s="8">
        <v>115091</v>
      </c>
      <c r="B39" s="8">
        <v>118963</v>
      </c>
      <c r="C39" s="2">
        <f>0.627*(100)</f>
        <v>62.7</v>
      </c>
      <c r="D39" s="2">
        <f>0.886*(100)</f>
        <v>88.6</v>
      </c>
      <c r="G39" s="128">
        <f t="shared" si="4"/>
        <v>3.4144719698807613</v>
      </c>
      <c r="J39" s="8">
        <v>110622</v>
      </c>
      <c r="K39" s="8">
        <v>114344</v>
      </c>
      <c r="L39" s="2">
        <v>59.5</v>
      </c>
      <c r="M39" s="2">
        <v>87.5</v>
      </c>
      <c r="O39" s="251">
        <f t="shared" si="1"/>
        <v>4.0398835674639866E-2</v>
      </c>
      <c r="P39" s="251">
        <f t="shared" si="1"/>
        <v>4.0395648219408109E-2</v>
      </c>
      <c r="Q39" s="2">
        <f t="shared" si="2"/>
        <v>3.2000000000000028</v>
      </c>
      <c r="R39" s="2">
        <f t="shared" si="3"/>
        <v>1.0999999999999943</v>
      </c>
    </row>
    <row r="40" spans="1:18" x14ac:dyDescent="0.25">
      <c r="A40" s="8">
        <v>118964</v>
      </c>
      <c r="B40" s="8">
        <v>122857</v>
      </c>
      <c r="C40" s="2">
        <f>0.606*(100)</f>
        <v>60.6</v>
      </c>
      <c r="D40" s="2">
        <f>0.879*(100)</f>
        <v>87.9</v>
      </c>
      <c r="G40" s="128">
        <f t="shared" si="4"/>
        <v>3.3651632186704417</v>
      </c>
      <c r="J40" s="8">
        <v>114345</v>
      </c>
      <c r="K40" s="8">
        <v>118086</v>
      </c>
      <c r="L40" s="2">
        <v>57.4</v>
      </c>
      <c r="M40" s="2">
        <v>86.8</v>
      </c>
      <c r="O40" s="251">
        <f t="shared" si="1"/>
        <v>4.039529494074956E-2</v>
      </c>
      <c r="P40" s="251">
        <f t="shared" si="1"/>
        <v>4.040275731246723E-2</v>
      </c>
      <c r="Q40" s="2">
        <f t="shared" si="2"/>
        <v>3.2000000000000028</v>
      </c>
      <c r="R40" s="2">
        <f t="shared" si="3"/>
        <v>1.1000000000000085</v>
      </c>
    </row>
    <row r="41" spans="1:18" x14ac:dyDescent="0.25">
      <c r="A41" s="8">
        <v>122858</v>
      </c>
      <c r="B41" s="8">
        <v>126747</v>
      </c>
      <c r="C41" s="2">
        <f>0.585*(100)</f>
        <v>58.5</v>
      </c>
      <c r="D41" s="2">
        <f>0.874*(100)</f>
        <v>87.4</v>
      </c>
      <c r="G41" s="128">
        <f t="shared" si="4"/>
        <v>3.2732591372179876</v>
      </c>
      <c r="J41" s="8">
        <v>118087</v>
      </c>
      <c r="K41" s="8">
        <v>121825</v>
      </c>
      <c r="L41" s="2">
        <v>55.300000000000004</v>
      </c>
      <c r="M41" s="2">
        <v>86.3</v>
      </c>
      <c r="O41" s="251">
        <f t="shared" si="1"/>
        <v>4.0402415168477424E-2</v>
      </c>
      <c r="P41" s="251">
        <f t="shared" si="1"/>
        <v>4.0402216293864202E-2</v>
      </c>
      <c r="Q41" s="2">
        <f t="shared" si="2"/>
        <v>3.1999999999999957</v>
      </c>
      <c r="R41" s="2">
        <f t="shared" si="3"/>
        <v>1.1000000000000085</v>
      </c>
    </row>
    <row r="42" spans="1:18" x14ac:dyDescent="0.25">
      <c r="A42" s="8">
        <v>126748</v>
      </c>
      <c r="B42" s="8">
        <v>130638</v>
      </c>
      <c r="C42" s="2">
        <f>0.564*(100)</f>
        <v>56.399999999999991</v>
      </c>
      <c r="D42" s="2">
        <f>0.87*(100)</f>
        <v>87</v>
      </c>
      <c r="G42" s="128">
        <f t="shared" si="4"/>
        <v>3.1662569796024664</v>
      </c>
      <c r="J42" s="8">
        <v>121826</v>
      </c>
      <c r="K42" s="8">
        <v>125565</v>
      </c>
      <c r="L42" s="2">
        <v>53.2</v>
      </c>
      <c r="M42" s="2">
        <v>85.9</v>
      </c>
      <c r="O42" s="251">
        <f t="shared" si="1"/>
        <v>4.0401884655163922E-2</v>
      </c>
      <c r="P42" s="251">
        <f t="shared" si="1"/>
        <v>4.0401385736471118E-2</v>
      </c>
      <c r="Q42" s="2">
        <f t="shared" si="2"/>
        <v>3.1999999999999886</v>
      </c>
      <c r="R42" s="2">
        <f t="shared" si="3"/>
        <v>1.0999999999999943</v>
      </c>
    </row>
    <row r="43" spans="1:18" x14ac:dyDescent="0.25">
      <c r="A43" s="8">
        <v>130639</v>
      </c>
      <c r="B43" s="8">
        <v>134527</v>
      </c>
      <c r="C43" s="2">
        <f>0.542*(100)</f>
        <v>54.2</v>
      </c>
      <c r="D43" s="2">
        <f>0.867*(100)</f>
        <v>86.7</v>
      </c>
      <c r="G43" s="128">
        <f t="shared" si="4"/>
        <v>3.0698709249850076</v>
      </c>
      <c r="J43" s="8">
        <v>125566</v>
      </c>
      <c r="K43" s="8">
        <v>129303</v>
      </c>
      <c r="L43" s="2">
        <v>51</v>
      </c>
      <c r="M43" s="2">
        <v>85.6</v>
      </c>
      <c r="O43" s="251">
        <f t="shared" si="1"/>
        <v>4.0401063982288266E-2</v>
      </c>
      <c r="P43" s="251">
        <f t="shared" si="1"/>
        <v>4.0401228123090771E-2</v>
      </c>
      <c r="Q43" s="2">
        <f t="shared" si="2"/>
        <v>3.2000000000000028</v>
      </c>
      <c r="R43" s="2">
        <f t="shared" si="3"/>
        <v>1.1000000000000085</v>
      </c>
    </row>
    <row r="44" spans="1:18" x14ac:dyDescent="0.25">
      <c r="A44" s="8">
        <v>134528</v>
      </c>
      <c r="B44" s="8">
        <v>138420</v>
      </c>
      <c r="C44" s="2">
        <f>0.523*(100)</f>
        <v>52.300000000000004</v>
      </c>
      <c r="D44" s="2">
        <f>0.86*(100)</f>
        <v>86</v>
      </c>
      <c r="G44" s="128">
        <f t="shared" si="4"/>
        <v>2.9769058244475177</v>
      </c>
      <c r="J44" s="8">
        <v>129304</v>
      </c>
      <c r="K44" s="8">
        <v>133045</v>
      </c>
      <c r="L44" s="2">
        <v>49.1</v>
      </c>
      <c r="M44" s="2">
        <v>84.899999999999991</v>
      </c>
      <c r="O44" s="251">
        <f t="shared" si="1"/>
        <v>4.040091567159565E-2</v>
      </c>
      <c r="P44" s="251">
        <f t="shared" si="1"/>
        <v>4.0399864707429733E-2</v>
      </c>
      <c r="Q44" s="2">
        <f t="shared" si="2"/>
        <v>3.2000000000000028</v>
      </c>
      <c r="R44" s="2">
        <f t="shared" si="3"/>
        <v>1.1000000000000085</v>
      </c>
    </row>
    <row r="45" spans="1:18" x14ac:dyDescent="0.25">
      <c r="A45" s="8">
        <v>138421</v>
      </c>
      <c r="B45" s="8">
        <v>142312</v>
      </c>
      <c r="C45" s="2">
        <f>0.504*(100)</f>
        <v>50.4</v>
      </c>
      <c r="D45" s="2">
        <f>0.854*(100)</f>
        <v>85.399999999999991</v>
      </c>
      <c r="G45" s="128">
        <f t="shared" si="4"/>
        <v>2.8938213606089391</v>
      </c>
      <c r="J45" s="8">
        <v>133046</v>
      </c>
      <c r="K45" s="8">
        <v>136786</v>
      </c>
      <c r="L45" s="2">
        <v>47.199999999999996</v>
      </c>
      <c r="M45" s="2">
        <v>84.3</v>
      </c>
      <c r="O45" s="251">
        <f t="shared" si="1"/>
        <v>4.0399561054071498E-2</v>
      </c>
      <c r="P45" s="251">
        <f t="shared" si="1"/>
        <v>4.0398871229511801E-2</v>
      </c>
      <c r="Q45" s="2">
        <f t="shared" si="2"/>
        <v>3.2000000000000028</v>
      </c>
      <c r="R45" s="2">
        <f t="shared" si="3"/>
        <v>1.0999999999999943</v>
      </c>
    </row>
    <row r="46" spans="1:18" x14ac:dyDescent="0.25">
      <c r="A46" s="8">
        <v>142313</v>
      </c>
      <c r="B46" s="8">
        <v>146205</v>
      </c>
      <c r="C46" s="2">
        <f>0.485*(100)</f>
        <v>48.5</v>
      </c>
      <c r="D46" s="2">
        <f>0.85*(100)</f>
        <v>85</v>
      </c>
      <c r="G46" s="128">
        <f t="shared" si="4"/>
        <v>2.8117120957080299</v>
      </c>
      <c r="J46" s="8">
        <v>136787</v>
      </c>
      <c r="K46" s="8">
        <v>140528</v>
      </c>
      <c r="L46" s="2">
        <v>45.300000000000004</v>
      </c>
      <c r="M46" s="2">
        <v>83.899999999999991</v>
      </c>
      <c r="O46" s="251">
        <f t="shared" si="1"/>
        <v>4.0398575888059618E-2</v>
      </c>
      <c r="P46" s="251">
        <f t="shared" si="1"/>
        <v>4.0397643174314046E-2</v>
      </c>
      <c r="Q46" s="2">
        <f t="shared" si="2"/>
        <v>3.1999999999999957</v>
      </c>
      <c r="R46" s="2">
        <f t="shared" si="3"/>
        <v>1.1000000000000085</v>
      </c>
    </row>
    <row r="47" spans="1:18" x14ac:dyDescent="0.25">
      <c r="A47" s="8">
        <v>146206</v>
      </c>
      <c r="B47" s="8">
        <v>150092</v>
      </c>
      <c r="C47" s="2">
        <f>0.465*(100)</f>
        <v>46.5</v>
      </c>
      <c r="D47" s="2">
        <f>0.844*(100)</f>
        <v>84.399999999999991</v>
      </c>
      <c r="G47" s="128">
        <f t="shared" si="4"/>
        <v>2.7355195941340504</v>
      </c>
      <c r="J47" s="8">
        <v>140529</v>
      </c>
      <c r="K47" s="8">
        <v>144264</v>
      </c>
      <c r="L47" s="2">
        <v>43.3</v>
      </c>
      <c r="M47" s="2">
        <v>83.3</v>
      </c>
      <c r="O47" s="251">
        <f t="shared" si="1"/>
        <v>4.0397355705939608E-2</v>
      </c>
      <c r="P47" s="251">
        <f t="shared" si="1"/>
        <v>4.0398158930849082E-2</v>
      </c>
      <c r="Q47" s="2">
        <f t="shared" si="2"/>
        <v>3.2000000000000028</v>
      </c>
      <c r="R47" s="2">
        <f t="shared" si="3"/>
        <v>1.0999999999999943</v>
      </c>
    </row>
    <row r="48" spans="1:18" x14ac:dyDescent="0.25">
      <c r="A48" s="8">
        <v>150093</v>
      </c>
      <c r="B48" s="8">
        <v>153982</v>
      </c>
      <c r="C48" s="2">
        <f>0.445*(100)</f>
        <v>44.5</v>
      </c>
      <c r="D48" s="2">
        <f>0.84*(100)</f>
        <v>84</v>
      </c>
      <c r="G48" s="128">
        <f t="shared" si="4"/>
        <v>2.6585776233533531</v>
      </c>
      <c r="J48" s="8">
        <v>144265</v>
      </c>
      <c r="K48" s="8">
        <v>148003</v>
      </c>
      <c r="L48" s="2">
        <v>41.3</v>
      </c>
      <c r="M48" s="2">
        <v>82.899999999999991</v>
      </c>
      <c r="O48" s="251">
        <f t="shared" si="1"/>
        <v>4.0397878903406959E-2</v>
      </c>
      <c r="P48" s="251">
        <f t="shared" si="1"/>
        <v>4.0397829773720861E-2</v>
      </c>
      <c r="Q48" s="2">
        <f t="shared" si="2"/>
        <v>3.2000000000000028</v>
      </c>
      <c r="R48" s="2">
        <f t="shared" si="3"/>
        <v>1.1000000000000085</v>
      </c>
    </row>
    <row r="49" spans="1:18" x14ac:dyDescent="0.25">
      <c r="A49" s="8">
        <v>153983</v>
      </c>
      <c r="B49" s="8">
        <v>157877</v>
      </c>
      <c r="C49" s="2">
        <f>0.425*(100)</f>
        <v>42.5</v>
      </c>
      <c r="D49" s="2">
        <f>0.833*(100)</f>
        <v>83.3</v>
      </c>
      <c r="G49" s="128">
        <f t="shared" si="4"/>
        <v>2.5917264629263137</v>
      </c>
      <c r="J49" s="8">
        <v>148004</v>
      </c>
      <c r="K49" s="8">
        <v>151746</v>
      </c>
      <c r="L49" s="2">
        <v>39.300000000000004</v>
      </c>
      <c r="M49" s="2">
        <v>82.199999999999989</v>
      </c>
      <c r="O49" s="251">
        <f t="shared" si="1"/>
        <v>4.0397556822788561E-2</v>
      </c>
      <c r="P49" s="251">
        <f t="shared" si="1"/>
        <v>4.0403041925322514E-2</v>
      </c>
      <c r="Q49" s="2">
        <f t="shared" si="2"/>
        <v>3.1999999999999957</v>
      </c>
      <c r="R49" s="2">
        <f t="shared" si="3"/>
        <v>1.1000000000000085</v>
      </c>
    </row>
    <row r="50" spans="1:18" x14ac:dyDescent="0.25">
      <c r="A50" s="8">
        <v>157878</v>
      </c>
      <c r="B50" s="8">
        <v>161766</v>
      </c>
      <c r="C50" s="2">
        <f>0.405*(100)</f>
        <v>40.5</v>
      </c>
      <c r="D50" s="2">
        <f>0.827*(100)</f>
        <v>82.699999999999989</v>
      </c>
      <c r="G50" s="128">
        <f t="shared" si="4"/>
        <v>2.5295000097413256</v>
      </c>
      <c r="J50" s="8">
        <v>151747</v>
      </c>
      <c r="K50" s="8">
        <v>155484</v>
      </c>
      <c r="L50" s="2">
        <v>37.299999999999997</v>
      </c>
      <c r="M50" s="2">
        <v>81.599999999999994</v>
      </c>
      <c r="O50" s="251">
        <f t="shared" si="1"/>
        <v>4.0402775672665703E-2</v>
      </c>
      <c r="P50" s="251">
        <f t="shared" si="1"/>
        <v>4.0402871034961763E-2</v>
      </c>
      <c r="Q50" s="2">
        <f t="shared" si="2"/>
        <v>3.2000000000000028</v>
      </c>
      <c r="R50" s="2">
        <f t="shared" si="3"/>
        <v>1.0999999999999943</v>
      </c>
    </row>
    <row r="51" spans="1:18" x14ac:dyDescent="0.25">
      <c r="A51" s="8">
        <v>161767</v>
      </c>
      <c r="B51" s="8">
        <v>165657</v>
      </c>
      <c r="C51" s="2">
        <f>0.385*(100)</f>
        <v>38.5</v>
      </c>
      <c r="D51" s="2">
        <f>0.817*(100)</f>
        <v>81.699999999999989</v>
      </c>
      <c r="G51" s="128">
        <f t="shared" si="4"/>
        <v>2.4632944425442505</v>
      </c>
      <c r="J51" s="8">
        <v>155485</v>
      </c>
      <c r="K51" s="8">
        <v>159224</v>
      </c>
      <c r="L51" s="2">
        <v>35.299999999999997</v>
      </c>
      <c r="M51" s="2">
        <v>80.600000000000009</v>
      </c>
      <c r="O51" s="251">
        <f t="shared" si="1"/>
        <v>4.0402611184358728E-2</v>
      </c>
      <c r="P51" s="251">
        <f t="shared" si="1"/>
        <v>4.0402200673265387E-2</v>
      </c>
      <c r="Q51" s="2">
        <f t="shared" si="2"/>
        <v>3.2000000000000028</v>
      </c>
      <c r="R51" s="2">
        <f t="shared" si="3"/>
        <v>1.0999999999999801</v>
      </c>
    </row>
    <row r="52" spans="1:18" x14ac:dyDescent="0.25">
      <c r="A52" s="8">
        <v>165658</v>
      </c>
      <c r="B52" s="8">
        <v>169547</v>
      </c>
      <c r="C52" s="2">
        <f t="shared" ref="C52:C70" si="5">0.365*(100)</f>
        <v>36.5</v>
      </c>
      <c r="D52" s="2">
        <f>0.814*(100)</f>
        <v>81.399999999999991</v>
      </c>
      <c r="G52" s="128">
        <f t="shared" si="4"/>
        <v>2.4053113428573303</v>
      </c>
      <c r="J52" s="8">
        <v>159225</v>
      </c>
      <c r="K52" s="8">
        <v>162963</v>
      </c>
      <c r="L52" s="2">
        <v>33.300000000000004</v>
      </c>
      <c r="M52" s="2">
        <v>80.300000000000011</v>
      </c>
      <c r="O52" s="251">
        <f t="shared" si="1"/>
        <v>4.040194693044441E-2</v>
      </c>
      <c r="P52" s="251">
        <f t="shared" si="1"/>
        <v>4.0401808999588784E-2</v>
      </c>
      <c r="Q52" s="2">
        <f t="shared" si="2"/>
        <v>3.1999999999999957</v>
      </c>
      <c r="R52" s="2">
        <f t="shared" si="3"/>
        <v>1.0999999999999801</v>
      </c>
    </row>
    <row r="53" spans="1:18" x14ac:dyDescent="0.25">
      <c r="A53" s="8">
        <v>169548</v>
      </c>
      <c r="B53" s="8">
        <v>173440</v>
      </c>
      <c r="C53" s="2">
        <f t="shared" si="5"/>
        <v>36.5</v>
      </c>
      <c r="D53" s="2">
        <f>0.806*(100)</f>
        <v>80.600000000000009</v>
      </c>
      <c r="G53" s="128">
        <f t="shared" si="4"/>
        <v>2.3482113752429701</v>
      </c>
      <c r="J53" s="8">
        <v>162964</v>
      </c>
      <c r="K53" s="8">
        <v>166705</v>
      </c>
      <c r="L53" s="2">
        <v>33.300000000000004</v>
      </c>
      <c r="M53" s="2">
        <v>79.5</v>
      </c>
      <c r="O53" s="251">
        <f t="shared" si="1"/>
        <v>4.0401561080974924E-2</v>
      </c>
      <c r="P53" s="251">
        <f t="shared" si="1"/>
        <v>4.0400707837197514E-2</v>
      </c>
      <c r="Q53" s="2">
        <f t="shared" si="2"/>
        <v>3.1999999999999957</v>
      </c>
      <c r="R53" s="2">
        <f t="shared" si="3"/>
        <v>1.1000000000000085</v>
      </c>
    </row>
    <row r="54" spans="1:18" x14ac:dyDescent="0.25">
      <c r="A54" s="8">
        <v>173441</v>
      </c>
      <c r="B54" s="8">
        <v>177335</v>
      </c>
      <c r="C54" s="2">
        <f t="shared" si="5"/>
        <v>36.5</v>
      </c>
      <c r="D54" s="2">
        <f>0.797*(100)</f>
        <v>79.7</v>
      </c>
      <c r="G54" s="128">
        <f t="shared" si="4"/>
        <v>2.2961049378347198</v>
      </c>
      <c r="J54" s="8">
        <v>166706</v>
      </c>
      <c r="K54" s="8">
        <v>170449</v>
      </c>
      <c r="L54" s="2">
        <v>33.300000000000004</v>
      </c>
      <c r="M54" s="2">
        <v>78.600000000000009</v>
      </c>
      <c r="O54" s="251">
        <f t="shared" si="1"/>
        <v>4.0400465490144422E-2</v>
      </c>
      <c r="P54" s="251">
        <f t="shared" si="1"/>
        <v>4.0399180986688155E-2</v>
      </c>
      <c r="Q54" s="2">
        <f t="shared" si="2"/>
        <v>3.1999999999999957</v>
      </c>
      <c r="R54" s="2">
        <f t="shared" si="3"/>
        <v>1.0999999999999943</v>
      </c>
    </row>
    <row r="55" spans="1:18" x14ac:dyDescent="0.25">
      <c r="A55" s="8">
        <v>177336</v>
      </c>
      <c r="B55" s="8">
        <v>181223</v>
      </c>
      <c r="C55" s="2">
        <f t="shared" si="5"/>
        <v>36.5</v>
      </c>
      <c r="D55" s="2">
        <f>0.791*(100)</f>
        <v>79.100000000000009</v>
      </c>
      <c r="G55" s="128">
        <f t="shared" si="4"/>
        <v>2.24572044672251</v>
      </c>
      <c r="J55" s="8">
        <v>170450</v>
      </c>
      <c r="K55" s="8">
        <v>174186</v>
      </c>
      <c r="L55" s="2">
        <v>33.300000000000004</v>
      </c>
      <c r="M55" s="2">
        <v>78</v>
      </c>
      <c r="O55" s="251">
        <f t="shared" si="1"/>
        <v>4.0398943971839296E-2</v>
      </c>
      <c r="P55" s="251">
        <f t="shared" si="1"/>
        <v>4.039934323079919E-2</v>
      </c>
      <c r="Q55" s="2">
        <f t="shared" si="2"/>
        <v>3.1999999999999957</v>
      </c>
      <c r="R55" s="2">
        <f t="shared" si="3"/>
        <v>1.1000000000000085</v>
      </c>
    </row>
    <row r="56" spans="1:18" x14ac:dyDescent="0.25">
      <c r="A56" s="8">
        <v>181224</v>
      </c>
      <c r="B56" s="8">
        <v>185114</v>
      </c>
      <c r="C56" s="2">
        <f t="shared" si="5"/>
        <v>36.5</v>
      </c>
      <c r="D56" s="2">
        <f>0.782*(100)</f>
        <v>78.2</v>
      </c>
      <c r="G56" s="128">
        <f t="shared" si="4"/>
        <v>2.1924482338611551</v>
      </c>
      <c r="J56" s="8">
        <v>174187</v>
      </c>
      <c r="K56" s="8">
        <v>177926</v>
      </c>
      <c r="L56" s="2">
        <v>33.300000000000004</v>
      </c>
      <c r="M56" s="2">
        <v>77.100000000000009</v>
      </c>
      <c r="O56" s="251">
        <f t="shared" si="1"/>
        <v>4.0399111299924684E-2</v>
      </c>
      <c r="P56" s="251">
        <f t="shared" si="1"/>
        <v>4.0398817485921112E-2</v>
      </c>
      <c r="Q56" s="2">
        <f t="shared" si="2"/>
        <v>3.1999999999999957</v>
      </c>
      <c r="R56" s="2">
        <f t="shared" si="3"/>
        <v>1.0999999999999943</v>
      </c>
    </row>
    <row r="57" spans="1:18" x14ac:dyDescent="0.25">
      <c r="A57" s="8">
        <v>185115</v>
      </c>
      <c r="B57" s="8">
        <v>189002</v>
      </c>
      <c r="C57" s="2">
        <f t="shared" si="5"/>
        <v>36.5</v>
      </c>
      <c r="D57" s="2">
        <f>0.777*(100)</f>
        <v>77.7</v>
      </c>
      <c r="G57" s="128">
        <f t="shared" si="4"/>
        <v>2.147066613693549</v>
      </c>
      <c r="J57" s="8">
        <v>177927</v>
      </c>
      <c r="K57" s="8">
        <v>181663</v>
      </c>
      <c r="L57" s="2">
        <v>33.300000000000004</v>
      </c>
      <c r="M57" s="2">
        <v>76.599999999999994</v>
      </c>
      <c r="O57" s="251">
        <f t="shared" si="1"/>
        <v>4.039859043315519E-2</v>
      </c>
      <c r="P57" s="251">
        <f t="shared" si="1"/>
        <v>4.0398980529882333E-2</v>
      </c>
      <c r="Q57" s="2">
        <f t="shared" si="2"/>
        <v>3.1999999999999957</v>
      </c>
      <c r="R57" s="2">
        <f t="shared" si="3"/>
        <v>1.1000000000000085</v>
      </c>
    </row>
    <row r="58" spans="1:18" x14ac:dyDescent="0.25">
      <c r="A58" s="8">
        <v>189003</v>
      </c>
      <c r="B58" s="8">
        <v>192896</v>
      </c>
      <c r="C58" s="2">
        <f t="shared" si="5"/>
        <v>36.5</v>
      </c>
      <c r="D58" s="2">
        <f>0.769*(100)</f>
        <v>76.900000000000006</v>
      </c>
      <c r="G58" s="128">
        <f t="shared" si="4"/>
        <v>2.1003160197714976</v>
      </c>
      <c r="J58" s="8">
        <v>181664</v>
      </c>
      <c r="K58" s="8">
        <v>185406</v>
      </c>
      <c r="L58" s="2">
        <v>33.300000000000004</v>
      </c>
      <c r="M58" s="2">
        <v>75.8</v>
      </c>
      <c r="O58" s="251">
        <f t="shared" si="1"/>
        <v>4.039875814690852E-2</v>
      </c>
      <c r="P58" s="251">
        <f t="shared" si="1"/>
        <v>4.0397829627951687E-2</v>
      </c>
      <c r="Q58" s="2">
        <f t="shared" si="2"/>
        <v>3.1999999999999957</v>
      </c>
      <c r="R58" s="2">
        <f t="shared" si="3"/>
        <v>1.1000000000000085</v>
      </c>
    </row>
    <row r="59" spans="1:18" x14ac:dyDescent="0.25">
      <c r="A59" s="8">
        <v>192897</v>
      </c>
      <c r="B59" s="8">
        <v>196789</v>
      </c>
      <c r="C59" s="2">
        <f t="shared" si="5"/>
        <v>36.5</v>
      </c>
      <c r="D59" s="2">
        <f>0.762*(100)</f>
        <v>76.2</v>
      </c>
      <c r="G59" s="128">
        <f t="shared" si="4"/>
        <v>2.0602847573848004</v>
      </c>
      <c r="J59" s="8">
        <v>185407</v>
      </c>
      <c r="K59" s="8">
        <v>189147</v>
      </c>
      <c r="L59" s="2">
        <v>33.300000000000004</v>
      </c>
      <c r="M59" s="2">
        <v>75.099999999999994</v>
      </c>
      <c r="O59" s="251">
        <f t="shared" si="1"/>
        <v>4.0397611740657036E-2</v>
      </c>
      <c r="P59" s="251">
        <f t="shared" si="1"/>
        <v>4.0402438315172873E-2</v>
      </c>
      <c r="Q59" s="2">
        <f t="shared" si="2"/>
        <v>3.1999999999999957</v>
      </c>
      <c r="R59" s="2">
        <f t="shared" si="3"/>
        <v>1.1000000000000085</v>
      </c>
    </row>
    <row r="60" spans="1:18" x14ac:dyDescent="0.25">
      <c r="A60" s="8">
        <v>196790</v>
      </c>
      <c r="B60" s="8">
        <v>200681</v>
      </c>
      <c r="C60" s="2">
        <f t="shared" si="5"/>
        <v>36.5</v>
      </c>
      <c r="D60" s="2">
        <f>0.755*(100)</f>
        <v>75.5</v>
      </c>
      <c r="G60" s="128">
        <f t="shared" si="4"/>
        <v>2.0181755029886395</v>
      </c>
      <c r="J60" s="8">
        <v>189148</v>
      </c>
      <c r="K60" s="8">
        <v>192888</v>
      </c>
      <c r="L60" s="2">
        <v>33.300000000000004</v>
      </c>
      <c r="M60" s="2">
        <v>74.400000000000006</v>
      </c>
      <c r="O60" s="251">
        <f t="shared" si="1"/>
        <v>4.0402224712923207E-2</v>
      </c>
      <c r="P60" s="251">
        <f t="shared" si="1"/>
        <v>4.0401683878727557E-2</v>
      </c>
      <c r="Q60" s="2">
        <f t="shared" si="2"/>
        <v>3.1999999999999957</v>
      </c>
      <c r="R60" s="2">
        <f t="shared" si="3"/>
        <v>1.0999999999999943</v>
      </c>
    </row>
    <row r="61" spans="1:18" x14ac:dyDescent="0.25">
      <c r="A61" s="8">
        <v>200682</v>
      </c>
      <c r="B61" s="8">
        <v>204571</v>
      </c>
      <c r="C61" s="2">
        <f t="shared" si="5"/>
        <v>36.5</v>
      </c>
      <c r="D61" s="2">
        <f>0.745*(100)</f>
        <v>74.5</v>
      </c>
      <c r="G61" s="128">
        <f t="shared" si="4"/>
        <v>1.9777427714822826</v>
      </c>
      <c r="J61" s="8">
        <v>192889</v>
      </c>
      <c r="K61" s="8">
        <v>196627</v>
      </c>
      <c r="L61" s="2">
        <v>33.300000000000004</v>
      </c>
      <c r="M61" s="2">
        <v>73.400000000000006</v>
      </c>
      <c r="O61" s="251">
        <f t="shared" si="1"/>
        <v>4.0401474423113815E-2</v>
      </c>
      <c r="P61" s="251">
        <f t="shared" si="1"/>
        <v>4.0401369089697825E-2</v>
      </c>
      <c r="Q61" s="2">
        <f t="shared" si="2"/>
        <v>3.1999999999999957</v>
      </c>
      <c r="R61" s="2">
        <f t="shared" si="3"/>
        <v>1.0999999999999943</v>
      </c>
    </row>
    <row r="62" spans="1:18" x14ac:dyDescent="0.25">
      <c r="A62" s="8">
        <v>204572</v>
      </c>
      <c r="B62" s="8">
        <v>208458</v>
      </c>
      <c r="C62" s="2">
        <f t="shared" si="5"/>
        <v>36.5</v>
      </c>
      <c r="D62" s="2">
        <f>0.74*(100)</f>
        <v>74</v>
      </c>
      <c r="G62" s="128">
        <f t="shared" si="4"/>
        <v>1.9383900897937956</v>
      </c>
      <c r="J62" s="8">
        <v>196628</v>
      </c>
      <c r="K62" s="8">
        <v>200363</v>
      </c>
      <c r="L62" s="2">
        <v>33.300000000000004</v>
      </c>
      <c r="M62" s="2">
        <v>72.899999999999991</v>
      </c>
      <c r="O62" s="251">
        <f t="shared" si="1"/>
        <v>4.0401163618609681E-2</v>
      </c>
      <c r="P62" s="251">
        <f t="shared" si="1"/>
        <v>4.0401670967194603E-2</v>
      </c>
      <c r="Q62" s="2">
        <f t="shared" si="2"/>
        <v>3.1999999999999957</v>
      </c>
      <c r="R62" s="2">
        <f t="shared" si="3"/>
        <v>1.1000000000000085</v>
      </c>
    </row>
    <row r="63" spans="1:18" x14ac:dyDescent="0.25">
      <c r="A63" s="8">
        <v>208459</v>
      </c>
      <c r="B63" s="8">
        <v>212353</v>
      </c>
      <c r="C63" s="2">
        <f t="shared" si="5"/>
        <v>36.5</v>
      </c>
      <c r="D63" s="2">
        <f>0.733*(100)</f>
        <v>73.3</v>
      </c>
      <c r="G63" s="128">
        <f t="shared" si="4"/>
        <v>1.9000645249594328</v>
      </c>
      <c r="J63" s="8">
        <v>200364</v>
      </c>
      <c r="K63" s="8">
        <v>204107</v>
      </c>
      <c r="L63" s="2">
        <v>33.300000000000004</v>
      </c>
      <c r="M63" s="2">
        <v>72.2</v>
      </c>
      <c r="O63" s="251">
        <f t="shared" si="1"/>
        <v>4.0401469325827E-2</v>
      </c>
      <c r="P63" s="251">
        <f t="shared" si="1"/>
        <v>4.040037823298559E-2</v>
      </c>
      <c r="Q63" s="2">
        <f t="shared" si="2"/>
        <v>3.1999999999999957</v>
      </c>
      <c r="R63" s="2">
        <f t="shared" si="3"/>
        <v>1.0999999999999943</v>
      </c>
    </row>
    <row r="64" spans="1:18" x14ac:dyDescent="0.25">
      <c r="A64" s="8">
        <v>212354</v>
      </c>
      <c r="B64" s="8">
        <v>216242</v>
      </c>
      <c r="C64" s="2">
        <f t="shared" si="5"/>
        <v>36.5</v>
      </c>
      <c r="D64" s="2">
        <f>0.725*(100)</f>
        <v>72.5</v>
      </c>
      <c r="G64" s="128">
        <f t="shared" si="4"/>
        <v>1.8684729371243325</v>
      </c>
      <c r="J64" s="8">
        <v>204108</v>
      </c>
      <c r="K64" s="8">
        <v>207845</v>
      </c>
      <c r="L64" s="2">
        <v>33.300000000000004</v>
      </c>
      <c r="M64" s="2">
        <v>71.399999999999991</v>
      </c>
      <c r="O64" s="251">
        <f t="shared" si="1"/>
        <v>4.0400180296705557E-2</v>
      </c>
      <c r="P64" s="251">
        <f t="shared" si="1"/>
        <v>4.0400298299213322E-2</v>
      </c>
      <c r="Q64" s="2">
        <f t="shared" si="2"/>
        <v>3.1999999999999957</v>
      </c>
      <c r="R64" s="2">
        <f t="shared" si="3"/>
        <v>1.1000000000000085</v>
      </c>
    </row>
    <row r="65" spans="1:18" x14ac:dyDescent="0.25">
      <c r="A65" s="8">
        <v>216243</v>
      </c>
      <c r="B65" s="8">
        <v>220134</v>
      </c>
      <c r="C65" s="2">
        <f t="shared" si="5"/>
        <v>36.5</v>
      </c>
      <c r="D65" s="2">
        <f>0.718*(100)</f>
        <v>71.8</v>
      </c>
      <c r="G65" s="128">
        <f t="shared" si="4"/>
        <v>1.8313759100370142</v>
      </c>
      <c r="J65" s="8">
        <v>207846</v>
      </c>
      <c r="K65" s="8">
        <v>211586</v>
      </c>
      <c r="L65" s="2">
        <v>33.300000000000004</v>
      </c>
      <c r="M65" s="2">
        <v>70.7</v>
      </c>
      <c r="O65" s="251">
        <f t="shared" si="1"/>
        <v>4.0400103923097008E-2</v>
      </c>
      <c r="P65" s="251">
        <f t="shared" si="1"/>
        <v>4.0399648369930041E-2</v>
      </c>
      <c r="Q65" s="2">
        <f t="shared" si="2"/>
        <v>3.1999999999999957</v>
      </c>
      <c r="R65" s="2">
        <f t="shared" si="3"/>
        <v>1.0999999999999943</v>
      </c>
    </row>
    <row r="66" spans="1:18" x14ac:dyDescent="0.25">
      <c r="A66" s="8">
        <v>220135</v>
      </c>
      <c r="B66" s="8">
        <v>224026</v>
      </c>
      <c r="C66" s="2">
        <f t="shared" si="5"/>
        <v>36.5</v>
      </c>
      <c r="D66" s="2">
        <f>0.712*(100)</f>
        <v>71.2</v>
      </c>
      <c r="G66" s="128">
        <f t="shared" si="4"/>
        <v>1.7998270464246291</v>
      </c>
      <c r="J66" s="8">
        <v>211587</v>
      </c>
      <c r="K66" s="8">
        <v>215327</v>
      </c>
      <c r="L66" s="2">
        <v>33.300000000000004</v>
      </c>
      <c r="M66" s="2">
        <v>70.099999999999994</v>
      </c>
      <c r="O66" s="251">
        <f t="shared" si="1"/>
        <v>4.0399457433585306E-2</v>
      </c>
      <c r="P66" s="251">
        <f t="shared" si="1"/>
        <v>4.0399021023838078E-2</v>
      </c>
      <c r="Q66" s="2">
        <f t="shared" si="2"/>
        <v>3.1999999999999957</v>
      </c>
      <c r="R66" s="2">
        <f t="shared" si="3"/>
        <v>1.1000000000000085</v>
      </c>
    </row>
    <row r="67" spans="1:18" x14ac:dyDescent="0.25">
      <c r="A67" s="8">
        <v>224027</v>
      </c>
      <c r="B67" s="8">
        <v>227915</v>
      </c>
      <c r="C67" s="2">
        <f t="shared" si="5"/>
        <v>36.5</v>
      </c>
      <c r="D67" s="2">
        <f>0.704*(100)</f>
        <v>70.399999999999991</v>
      </c>
      <c r="G67" s="128">
        <f t="shared" si="4"/>
        <v>1.768005996320432</v>
      </c>
      <c r="J67" s="8">
        <v>215328</v>
      </c>
      <c r="K67" s="8">
        <v>219065</v>
      </c>
      <c r="L67" s="2">
        <v>33.300000000000004</v>
      </c>
      <c r="M67" s="2">
        <v>69.3</v>
      </c>
      <c r="O67" s="251">
        <f t="shared" ref="O67:P70" si="6">A67/J67-1</f>
        <v>4.0398833407638612E-2</v>
      </c>
      <c r="P67" s="251">
        <f t="shared" si="6"/>
        <v>4.0398968342729269E-2</v>
      </c>
      <c r="Q67" s="2">
        <f t="shared" ref="Q67:Q70" si="7">C67-L67</f>
        <v>3.1999999999999957</v>
      </c>
      <c r="R67" s="2">
        <f t="shared" ref="R67:R70" si="8">D67-M67</f>
        <v>1.0999999999999943</v>
      </c>
    </row>
    <row r="68" spans="1:18" x14ac:dyDescent="0.25">
      <c r="A68" s="8">
        <v>227916</v>
      </c>
      <c r="B68" s="8">
        <v>231807</v>
      </c>
      <c r="C68" s="2">
        <f t="shared" si="5"/>
        <v>36.5</v>
      </c>
      <c r="D68" s="2">
        <f>0.696*(100)</f>
        <v>69.599999999999994</v>
      </c>
      <c r="G68" s="128">
        <f t="shared" si="4"/>
        <v>1.7359514701352996</v>
      </c>
      <c r="J68" s="8">
        <v>219066</v>
      </c>
      <c r="K68" s="8">
        <v>222806</v>
      </c>
      <c r="L68" s="2">
        <v>33.300000000000004</v>
      </c>
      <c r="M68" s="2">
        <v>68.5</v>
      </c>
      <c r="O68" s="251">
        <f t="shared" si="6"/>
        <v>4.0398783928131232E-2</v>
      </c>
      <c r="P68" s="251">
        <f t="shared" si="6"/>
        <v>4.0398373472886773E-2</v>
      </c>
      <c r="Q68" s="2">
        <f t="shared" si="7"/>
        <v>3.1999999999999957</v>
      </c>
      <c r="R68" s="2">
        <f t="shared" si="8"/>
        <v>1.0999999999999943</v>
      </c>
    </row>
    <row r="69" spans="1:18" x14ac:dyDescent="0.25">
      <c r="A69" s="8">
        <v>231808</v>
      </c>
      <c r="B69" s="8">
        <v>235697</v>
      </c>
      <c r="C69" s="2">
        <f t="shared" si="5"/>
        <v>36.5</v>
      </c>
      <c r="D69" s="2">
        <f>0.691*(100)</f>
        <v>69.099999999999994</v>
      </c>
      <c r="G69" s="128">
        <f t="shared" ref="G69:G70" si="9">(A69/A68-1)*100</f>
        <v>1.7076466768458642</v>
      </c>
      <c r="J69" s="8">
        <v>222807</v>
      </c>
      <c r="K69" s="8">
        <v>226545</v>
      </c>
      <c r="L69" s="2">
        <v>33.300000000000004</v>
      </c>
      <c r="M69" s="2">
        <v>68</v>
      </c>
      <c r="O69" s="251">
        <f t="shared" si="6"/>
        <v>4.0398192157337975E-2</v>
      </c>
      <c r="P69" s="251">
        <f t="shared" si="6"/>
        <v>4.0398154891964078E-2</v>
      </c>
      <c r="Q69" s="2">
        <f t="shared" si="7"/>
        <v>3.1999999999999957</v>
      </c>
      <c r="R69" s="2">
        <f t="shared" si="8"/>
        <v>1.0999999999999943</v>
      </c>
    </row>
    <row r="70" spans="1:18" x14ac:dyDescent="0.25">
      <c r="A70" s="8">
        <v>235698</v>
      </c>
      <c r="B70" s="7">
        <v>99999999</v>
      </c>
      <c r="C70" s="2">
        <f t="shared" si="5"/>
        <v>36.5</v>
      </c>
      <c r="D70" s="2">
        <f>0.682*(100)</f>
        <v>68.2</v>
      </c>
      <c r="G70" s="128">
        <f t="shared" si="9"/>
        <v>1.6781129210380996</v>
      </c>
      <c r="J70" s="8">
        <v>226546</v>
      </c>
      <c r="K70" s="7">
        <v>99999999</v>
      </c>
      <c r="L70" s="2">
        <v>33.300000000000004</v>
      </c>
      <c r="M70" s="2">
        <v>67.100000000000009</v>
      </c>
      <c r="O70" s="251">
        <f t="shared" si="6"/>
        <v>4.0397976569879868E-2</v>
      </c>
      <c r="P70" s="251">
        <f t="shared" si="6"/>
        <v>0</v>
      </c>
      <c r="Q70" s="2">
        <f t="shared" si="7"/>
        <v>3.1999999999999957</v>
      </c>
      <c r="R70" s="2">
        <f t="shared" si="8"/>
        <v>1.0999999999999943</v>
      </c>
    </row>
    <row r="71" spans="1:18" x14ac:dyDescent="0.25">
      <c r="A71" s="12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3" sqref="D3"/>
    </sheetView>
  </sheetViews>
  <sheetFormatPr defaultRowHeight="15" x14ac:dyDescent="0.25"/>
  <cols>
    <col min="1" max="1" width="19.28515625" style="128" bestFit="1" customWidth="1"/>
    <col min="2" max="16384" width="9.140625" style="128"/>
  </cols>
  <sheetData>
    <row r="1" spans="1:6" x14ac:dyDescent="0.25">
      <c r="A1" s="128" t="s">
        <v>22</v>
      </c>
      <c r="D1" s="1">
        <v>11.23</v>
      </c>
      <c r="F1" s="2"/>
    </row>
    <row r="2" spans="1:6" x14ac:dyDescent="0.25">
      <c r="A2" s="128" t="s">
        <v>23</v>
      </c>
      <c r="D2" s="1">
        <v>9.98</v>
      </c>
      <c r="F2" s="2"/>
    </row>
    <row r="3" spans="1:6" x14ac:dyDescent="0.25">
      <c r="A3" s="128" t="s">
        <v>85</v>
      </c>
      <c r="D3" s="1"/>
      <c r="F3" s="2"/>
    </row>
    <row r="9" spans="1:6" ht="16.5" x14ac:dyDescent="0.3">
      <c r="C9" s="4" t="s">
        <v>3</v>
      </c>
      <c r="D9" s="4" t="s">
        <v>4</v>
      </c>
      <c r="E9" s="4" t="s">
        <v>5</v>
      </c>
      <c r="F9" s="4" t="s">
        <v>6</v>
      </c>
    </row>
    <row r="10" spans="1:6" x14ac:dyDescent="0.25">
      <c r="B10" s="128" t="s">
        <v>22</v>
      </c>
      <c r="C10" s="1">
        <f>IF(Berekening2025!D$24=basisinfo2025!$B10,+$D1,0)</f>
        <v>11.23</v>
      </c>
      <c r="D10" s="1">
        <f>IF(Berekening2025!E$24=basisinfo2025!$B10,+$D1,0)</f>
        <v>0</v>
      </c>
      <c r="E10" s="1">
        <f>IF(Berekening2025!F$24=basisinfo2025!$B10,+$D1,0)</f>
        <v>0</v>
      </c>
      <c r="F10" s="1">
        <f>IF(Berekening2025!G$24=basisinfo2025!$B10,+$D1,0)</f>
        <v>0</v>
      </c>
    </row>
    <row r="11" spans="1:6" x14ac:dyDescent="0.25">
      <c r="B11" s="128" t="s">
        <v>23</v>
      </c>
      <c r="C11" s="1">
        <f>IF(Berekening2025!D$24=basisinfo2025!$B11,+$D2,0)</f>
        <v>0</v>
      </c>
      <c r="D11" s="1">
        <f>IF(Berekening2025!E$24=basisinfo2025!$B11,+$D2,0)</f>
        <v>0</v>
      </c>
      <c r="E11" s="1">
        <f>IF(Berekening2025!F$24=basisinfo2025!$B11,+$D2,0)</f>
        <v>0</v>
      </c>
      <c r="F11" s="1">
        <f>IF(Berekening2025!G$24=basisinfo2025!$B11,+$D2,0)</f>
        <v>0</v>
      </c>
    </row>
    <row r="12" spans="1:6" x14ac:dyDescent="0.25">
      <c r="C12" s="1"/>
      <c r="D12" s="1"/>
      <c r="E12" s="1"/>
      <c r="F12" s="1"/>
    </row>
    <row r="13" spans="1:6" x14ac:dyDescent="0.25">
      <c r="A13" s="128" t="s">
        <v>29</v>
      </c>
      <c r="C13" s="5">
        <f>SUM(C10:C12)</f>
        <v>11.23</v>
      </c>
      <c r="D13" s="5">
        <f t="shared" ref="D13:F13" si="0">SUM(D10:D12)</f>
        <v>0</v>
      </c>
      <c r="E13" s="5">
        <f t="shared" si="0"/>
        <v>0</v>
      </c>
      <c r="F13" s="5">
        <f t="shared" si="0"/>
        <v>0</v>
      </c>
    </row>
    <row r="14" spans="1:6" x14ac:dyDescent="0.25">
      <c r="C14" s="6"/>
      <c r="D14" s="6"/>
      <c r="E14" s="6"/>
      <c r="F14"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
  <sheetViews>
    <sheetView topLeftCell="A18" workbookViewId="0">
      <selection activeCell="A41" sqref="A41:XFD41"/>
    </sheetView>
  </sheetViews>
  <sheetFormatPr defaultColWidth="0" defaultRowHeight="14.25" zeroHeight="1" x14ac:dyDescent="0.2"/>
  <cols>
    <col min="1" max="1" width="8.85546875" style="14" customWidth="1"/>
    <col min="2" max="2" width="52.28515625" style="14" customWidth="1"/>
    <col min="3" max="3" width="15.28515625" style="14" customWidth="1"/>
    <col min="4" max="7" width="15.7109375" style="14" customWidth="1"/>
    <col min="8" max="8" width="12.7109375" style="16" customWidth="1"/>
    <col min="9" max="9" width="5.85546875" style="14" customWidth="1"/>
    <col min="10" max="16384" width="8.85546875" style="14" hidden="1"/>
  </cols>
  <sheetData>
    <row r="1" spans="2:8" ht="17.45" customHeight="1" x14ac:dyDescent="0.25">
      <c r="B1" s="279" t="s">
        <v>75</v>
      </c>
      <c r="C1" s="280"/>
      <c r="D1" s="280"/>
      <c r="E1" s="280"/>
      <c r="F1" s="280"/>
      <c r="G1" s="280"/>
      <c r="H1" s="281"/>
    </row>
    <row r="2" spans="2:8" ht="17.45" customHeight="1" x14ac:dyDescent="0.25">
      <c r="B2" s="282" t="s">
        <v>82</v>
      </c>
      <c r="C2" s="283"/>
      <c r="D2" s="283"/>
      <c r="E2" s="283"/>
      <c r="F2" s="283"/>
      <c r="G2" s="283"/>
      <c r="H2" s="284"/>
    </row>
    <row r="3" spans="2:8" ht="15" x14ac:dyDescent="0.25">
      <c r="B3" s="285" t="s">
        <v>34</v>
      </c>
      <c r="C3" s="286"/>
      <c r="D3" s="286"/>
      <c r="E3" s="286"/>
      <c r="F3" s="286"/>
      <c r="G3" s="286"/>
      <c r="H3" s="287"/>
    </row>
    <row r="4" spans="2:8" ht="15" x14ac:dyDescent="0.25">
      <c r="B4" s="288" t="s">
        <v>81</v>
      </c>
      <c r="C4" s="289"/>
      <c r="D4" s="289"/>
      <c r="E4" s="289"/>
      <c r="F4" s="289"/>
      <c r="G4" s="289"/>
      <c r="H4" s="290"/>
    </row>
    <row r="5" spans="2:8" x14ac:dyDescent="0.2"/>
    <row r="6" spans="2:8" ht="13.9" customHeight="1" x14ac:dyDescent="0.2">
      <c r="B6" s="291" t="s">
        <v>83</v>
      </c>
      <c r="C6" s="292"/>
      <c r="D6" s="292"/>
      <c r="E6" s="292"/>
      <c r="F6" s="292"/>
      <c r="G6" s="292"/>
      <c r="H6" s="293"/>
    </row>
    <row r="7" spans="2:8" x14ac:dyDescent="0.2">
      <c r="B7" s="294"/>
      <c r="C7" s="295"/>
      <c r="D7" s="295"/>
      <c r="E7" s="295"/>
      <c r="F7" s="295"/>
      <c r="G7" s="295"/>
      <c r="H7" s="296"/>
    </row>
    <row r="8" spans="2:8" ht="13.9" hidden="1" customHeight="1" x14ac:dyDescent="0.2">
      <c r="B8" s="294"/>
      <c r="C8" s="295"/>
      <c r="D8" s="295"/>
      <c r="E8" s="295"/>
      <c r="F8" s="295"/>
      <c r="G8" s="295"/>
      <c r="H8" s="296"/>
    </row>
    <row r="9" spans="2:8" ht="13.9" hidden="1" customHeight="1" x14ac:dyDescent="0.2">
      <c r="B9" s="297"/>
      <c r="C9" s="298"/>
      <c r="D9" s="298"/>
      <c r="E9" s="298"/>
      <c r="F9" s="298"/>
      <c r="G9" s="298"/>
      <c r="H9" s="299"/>
    </row>
    <row r="10" spans="2:8" ht="15" x14ac:dyDescent="0.25">
      <c r="B10" s="300" t="s">
        <v>48</v>
      </c>
      <c r="C10" s="301"/>
      <c r="D10" s="301"/>
      <c r="E10" s="301"/>
      <c r="F10" s="301"/>
      <c r="G10" s="301"/>
      <c r="H10" s="302"/>
    </row>
    <row r="11" spans="2:8" x14ac:dyDescent="0.2">
      <c r="B11" s="109"/>
      <c r="C11" s="109"/>
      <c r="D11" s="109"/>
      <c r="E11" s="109"/>
      <c r="F11" s="109"/>
      <c r="G11" s="109"/>
      <c r="H11" s="109"/>
    </row>
    <row r="12" spans="2:8" ht="13.9" customHeight="1" x14ac:dyDescent="0.2">
      <c r="C12" s="303" t="s">
        <v>47</v>
      </c>
      <c r="D12" s="303"/>
      <c r="E12" s="303"/>
      <c r="F12" s="63"/>
      <c r="G12" s="63"/>
    </row>
    <row r="13" spans="2:8" ht="13.9" customHeight="1" x14ac:dyDescent="0.2">
      <c r="C13" s="304" t="s">
        <v>62</v>
      </c>
      <c r="D13" s="304"/>
      <c r="E13" s="304"/>
      <c r="F13" s="63"/>
      <c r="G13" s="63"/>
    </row>
    <row r="14" spans="2:8" ht="13.9" customHeight="1" x14ac:dyDescent="0.2">
      <c r="C14" s="305" t="s">
        <v>61</v>
      </c>
      <c r="D14" s="305"/>
      <c r="E14" s="305"/>
      <c r="F14" s="63"/>
      <c r="G14" s="63"/>
    </row>
    <row r="15" spans="2:8" hidden="1" x14ac:dyDescent="0.2">
      <c r="B15" s="63"/>
      <c r="C15" s="63"/>
      <c r="D15" s="63"/>
      <c r="E15" s="63"/>
      <c r="F15" s="63"/>
      <c r="G15" s="63"/>
    </row>
    <row r="16" spans="2:8" hidden="1" x14ac:dyDescent="0.2">
      <c r="B16" s="63"/>
      <c r="C16" s="63"/>
      <c r="D16" s="63"/>
      <c r="E16" s="63"/>
      <c r="F16" s="63"/>
      <c r="G16" s="63"/>
    </row>
    <row r="17" spans="2:8" hidden="1" x14ac:dyDescent="0.2"/>
    <row r="18" spans="2:8" ht="15" x14ac:dyDescent="0.25">
      <c r="B18" s="15" t="s">
        <v>8</v>
      </c>
    </row>
    <row r="19" spans="2:8" ht="15.75" x14ac:dyDescent="0.25">
      <c r="B19" s="64" t="s">
        <v>63</v>
      </c>
      <c r="C19" s="11">
        <f>+'Indicatie netto kosten'!D22</f>
        <v>31500</v>
      </c>
      <c r="D19" s="12" t="s">
        <v>18</v>
      </c>
      <c r="E19" s="13" t="s">
        <v>64</v>
      </c>
      <c r="F19" s="9"/>
      <c r="G19" s="9"/>
    </row>
    <row r="20" spans="2:8" ht="15.75" x14ac:dyDescent="0.25">
      <c r="B20" s="82"/>
      <c r="C20" s="11"/>
      <c r="D20" s="12"/>
      <c r="E20" s="13"/>
      <c r="F20" s="9"/>
      <c r="G20" s="9"/>
    </row>
    <row r="21" spans="2:8" x14ac:dyDescent="0.2"/>
    <row r="22" spans="2:8" ht="15" x14ac:dyDescent="0.25">
      <c r="B22" s="15"/>
      <c r="D22" s="27" t="s">
        <v>19</v>
      </c>
    </row>
    <row r="23" spans="2:8" x14ac:dyDescent="0.2">
      <c r="D23" s="28" t="s">
        <v>3</v>
      </c>
      <c r="E23" s="28" t="s">
        <v>4</v>
      </c>
      <c r="F23" s="28" t="s">
        <v>5</v>
      </c>
      <c r="G23" s="28" t="s">
        <v>6</v>
      </c>
    </row>
    <row r="24" spans="2:8" ht="15" x14ac:dyDescent="0.25">
      <c r="B24" s="14" t="s">
        <v>16</v>
      </c>
      <c r="C24" s="29" t="s">
        <v>15</v>
      </c>
      <c r="D24" s="106" t="str">
        <f>+'Indicatie netto kosten'!B26</f>
        <v>KDV 0-4</v>
      </c>
      <c r="E24" s="106">
        <f>+'Indicatie netto kosten'!B27</f>
        <v>0</v>
      </c>
      <c r="F24" s="106">
        <f>+'Indicatie netto kosten'!B28</f>
        <v>0</v>
      </c>
      <c r="G24" s="106">
        <f>+'Indicatie netto kosten'!B29</f>
        <v>0</v>
      </c>
    </row>
    <row r="25" spans="2:8" ht="15" x14ac:dyDescent="0.25">
      <c r="B25" s="64" t="s">
        <v>65</v>
      </c>
      <c r="C25" s="29" t="s">
        <v>17</v>
      </c>
      <c r="D25" s="107">
        <f>+'Indicatie netto kosten'!D26</f>
        <v>100</v>
      </c>
      <c r="E25" s="107">
        <f>+'Indicatie netto kosten'!D27</f>
        <v>0</v>
      </c>
      <c r="F25" s="107">
        <f>+'Indicatie netto kosten'!D28</f>
        <v>0</v>
      </c>
      <c r="G25" s="107">
        <f>+'Indicatie netto kosten'!D29</f>
        <v>0</v>
      </c>
    </row>
    <row r="26" spans="2:8" ht="15" x14ac:dyDescent="0.25">
      <c r="B26" s="82"/>
      <c r="C26" s="29"/>
      <c r="D26" s="107"/>
      <c r="E26" s="107"/>
      <c r="F26" s="107"/>
      <c r="G26" s="107"/>
    </row>
    <row r="27" spans="2:8" ht="15" x14ac:dyDescent="0.25">
      <c r="B27" s="64" t="s">
        <v>79</v>
      </c>
      <c r="C27" s="29" t="s">
        <v>17</v>
      </c>
      <c r="D27" s="108">
        <f>IF(D24="KDV 0-4",10.62,9.16)</f>
        <v>10.62</v>
      </c>
      <c r="E27" s="108">
        <f t="shared" ref="E27:G27" si="0">IF(E24="KDV 0-4",10.62,9.16)</f>
        <v>9.16</v>
      </c>
      <c r="F27" s="108">
        <f t="shared" si="0"/>
        <v>9.16</v>
      </c>
      <c r="G27" s="108">
        <f t="shared" si="0"/>
        <v>9.16</v>
      </c>
    </row>
    <row r="28" spans="2:8" ht="15" x14ac:dyDescent="0.25">
      <c r="B28" s="82"/>
      <c r="C28" s="29"/>
      <c r="D28" s="108"/>
      <c r="E28" s="108"/>
      <c r="F28" s="108"/>
      <c r="G28" s="108"/>
    </row>
    <row r="29" spans="2:8" x14ac:dyDescent="0.2">
      <c r="B29" s="18"/>
      <c r="C29" s="18"/>
      <c r="D29" s="23"/>
      <c r="E29" s="23"/>
      <c r="F29" s="23"/>
      <c r="G29" s="23"/>
    </row>
    <row r="30" spans="2:8" x14ac:dyDescent="0.2"/>
    <row r="31" spans="2:8" x14ac:dyDescent="0.2">
      <c r="B31" s="116" t="s">
        <v>66</v>
      </c>
      <c r="C31" s="126"/>
      <c r="D31" s="120">
        <f>+D32</f>
        <v>10.71</v>
      </c>
      <c r="E31" s="120">
        <f t="shared" ref="E31:G31" si="1">+E32</f>
        <v>0</v>
      </c>
      <c r="F31" s="120">
        <f t="shared" si="1"/>
        <v>0</v>
      </c>
      <c r="G31" s="121">
        <f t="shared" si="1"/>
        <v>0</v>
      </c>
      <c r="H31" s="21"/>
    </row>
    <row r="32" spans="2:8" x14ac:dyDescent="0.2">
      <c r="B32" s="122" t="s">
        <v>36</v>
      </c>
      <c r="C32" s="18"/>
      <c r="D32" s="20">
        <f>+basisinfo2025!C13</f>
        <v>10.71</v>
      </c>
      <c r="E32" s="20">
        <f>+basisinfo2025!D13</f>
        <v>0</v>
      </c>
      <c r="F32" s="20">
        <f>+basisinfo2025!E13</f>
        <v>0</v>
      </c>
      <c r="G32" s="123">
        <f>+basisinfo2025!F13</f>
        <v>0</v>
      </c>
      <c r="H32" s="21"/>
    </row>
    <row r="33" spans="2:8" x14ac:dyDescent="0.2">
      <c r="B33" s="111"/>
      <c r="C33" s="96"/>
      <c r="D33" s="124"/>
      <c r="E33" s="124"/>
      <c r="F33" s="124"/>
      <c r="G33" s="125"/>
      <c r="H33" s="21"/>
    </row>
    <row r="34" spans="2:8" x14ac:dyDescent="0.2">
      <c r="B34" s="18"/>
      <c r="C34" s="18"/>
      <c r="D34" s="20"/>
      <c r="E34" s="20"/>
      <c r="F34" s="20"/>
      <c r="G34" s="20"/>
      <c r="H34" s="21"/>
    </row>
    <row r="35" spans="2:8" x14ac:dyDescent="0.2">
      <c r="B35" s="116" t="s">
        <v>67</v>
      </c>
      <c r="C35" s="126" t="s">
        <v>45</v>
      </c>
      <c r="D35" s="117">
        <f>IF(D25&gt;0,VLOOKUP($C$19,tabelkot2025!$A$2:$D$72,3)," ")</f>
        <v>96</v>
      </c>
      <c r="E35" s="117">
        <f>IF(E25&gt;0,VLOOKUP($C$19,tabelkot2025!$A$2:$D$72,4),0)</f>
        <v>0</v>
      </c>
      <c r="F35" s="117">
        <f>IF(F25&gt;0,VLOOKUP($C$19,tabelkot2025!$A$2:$D$72,4),0)</f>
        <v>0</v>
      </c>
      <c r="G35" s="117">
        <f>IF(G25&gt;0,VLOOKUP($C$19,tabelkot2025!$A$2:$D$72,4),0)</f>
        <v>0</v>
      </c>
      <c r="H35" s="21"/>
    </row>
    <row r="36" spans="2:8" x14ac:dyDescent="0.2">
      <c r="B36" s="111"/>
      <c r="C36" s="96"/>
      <c r="D36" s="118"/>
      <c r="E36" s="118"/>
      <c r="F36" s="118"/>
      <c r="G36" s="119"/>
      <c r="H36" s="21"/>
    </row>
    <row r="37" spans="2:8" x14ac:dyDescent="0.2">
      <c r="B37" s="18"/>
      <c r="D37" s="44"/>
      <c r="E37" s="44"/>
      <c r="F37" s="44"/>
      <c r="G37" s="44"/>
    </row>
    <row r="38" spans="2:8" x14ac:dyDescent="0.2">
      <c r="B38" s="18" t="s">
        <v>11</v>
      </c>
      <c r="C38" s="18"/>
      <c r="D38" s="22">
        <f>IF(D25&gt;230,230,D25)</f>
        <v>100</v>
      </c>
      <c r="E38" s="22">
        <f>IF(E25&gt;230,230,E25)</f>
        <v>0</v>
      </c>
      <c r="F38" s="22">
        <f>IF(F25&gt;230,230,F25)</f>
        <v>0</v>
      </c>
      <c r="G38" s="22">
        <f>IF(G25&gt;230,230,G25)</f>
        <v>0</v>
      </c>
      <c r="H38" s="21"/>
    </row>
    <row r="39" spans="2:8" ht="16.149999999999999" customHeight="1" x14ac:dyDescent="0.25">
      <c r="B39" s="102"/>
      <c r="C39" s="104"/>
      <c r="D39" s="105" t="str">
        <f>IF(D25&gt;0,+D24," ")</f>
        <v>KDV 0-4</v>
      </c>
      <c r="E39" s="105" t="str">
        <f>IF(E25&gt;0,+E24," ")</f>
        <v xml:space="preserve"> </v>
      </c>
      <c r="F39" s="105" t="str">
        <f>IF(F25&gt;0,+F24," ")</f>
        <v xml:space="preserve"> </v>
      </c>
      <c r="G39" s="105" t="str">
        <f>IF(G25&gt;0,+G24," ")</f>
        <v xml:space="preserve"> </v>
      </c>
      <c r="H39" s="103" t="s">
        <v>7</v>
      </c>
    </row>
    <row r="40" spans="2:8" ht="16.149999999999999" customHeight="1" x14ac:dyDescent="0.2">
      <c r="B40" s="68" t="s">
        <v>68</v>
      </c>
      <c r="C40" s="65"/>
      <c r="D40" s="81">
        <f>IF(D25&gt;0,(D66+D67)/D61," ")</f>
        <v>0</v>
      </c>
      <c r="E40" s="81" t="str">
        <f>IF(E25&gt;0,(E66+E67)/E61," ")</f>
        <v xml:space="preserve"> </v>
      </c>
      <c r="F40" s="81" t="str">
        <f>IF(F25&gt;0,(F66+F67)/F61," ")</f>
        <v xml:space="preserve"> </v>
      </c>
      <c r="G40" s="81" t="str">
        <f>IF(G25&gt;0,(G66+G67)/G61," ")</f>
        <v xml:space="preserve"> </v>
      </c>
      <c r="H40" s="110">
        <f>IF(H68&gt;0,(H66+H67)/H61,0%)</f>
        <v>0</v>
      </c>
    </row>
    <row r="41" spans="2:8" ht="16.149999999999999" customHeight="1" x14ac:dyDescent="0.2">
      <c r="B41" s="111"/>
      <c r="C41" s="96"/>
      <c r="D41" s="112"/>
      <c r="E41" s="112"/>
      <c r="F41" s="112"/>
      <c r="G41" s="112"/>
      <c r="H41" s="113"/>
    </row>
    <row r="42" spans="2:8" ht="16.149999999999999" customHeight="1" x14ac:dyDescent="0.2">
      <c r="B42" s="18"/>
      <c r="C42" s="18"/>
      <c r="D42" s="23"/>
      <c r="E42" s="23"/>
      <c r="F42" s="23"/>
      <c r="G42" s="23"/>
      <c r="H42" s="23"/>
    </row>
    <row r="43" spans="2:8" ht="16.149999999999999" customHeight="1" x14ac:dyDescent="0.2">
      <c r="B43" s="18"/>
      <c r="C43" s="18"/>
      <c r="D43" s="23"/>
      <c r="E43" s="23"/>
      <c r="F43" s="23"/>
      <c r="G43" s="23"/>
      <c r="H43" s="23"/>
    </row>
    <row r="44" spans="2:8" x14ac:dyDescent="0.2">
      <c r="B44" s="18" t="s">
        <v>10</v>
      </c>
      <c r="C44" s="18"/>
      <c r="D44" s="22">
        <f>IF(D25&gt;230,D25-230,0)</f>
        <v>0</v>
      </c>
      <c r="E44" s="22">
        <f>IF(E25&gt;230,E25-230,0)</f>
        <v>0</v>
      </c>
      <c r="F44" s="22">
        <f>IF(F25&gt;230,F25-230,0)</f>
        <v>0</v>
      </c>
      <c r="G44" s="22">
        <f>IF(G25&gt;230,G25-230,0)</f>
        <v>0</v>
      </c>
      <c r="H44" s="21"/>
    </row>
    <row r="45" spans="2:8" ht="15" x14ac:dyDescent="0.25">
      <c r="B45" s="18"/>
      <c r="C45" s="18"/>
      <c r="D45" s="23"/>
      <c r="E45" s="23"/>
      <c r="F45" s="23"/>
      <c r="G45" s="23"/>
      <c r="H45" s="24" t="s">
        <v>7</v>
      </c>
    </row>
    <row r="46" spans="2:8" ht="15" x14ac:dyDescent="0.25">
      <c r="B46" s="19" t="s">
        <v>9</v>
      </c>
      <c r="C46" s="19"/>
      <c r="D46" s="25">
        <f>D25*D27</f>
        <v>1062</v>
      </c>
      <c r="E46" s="25">
        <f>E25*E27</f>
        <v>0</v>
      </c>
      <c r="F46" s="25">
        <f>F25*F27</f>
        <v>0</v>
      </c>
      <c r="G46" s="25">
        <f>G25*G27</f>
        <v>0</v>
      </c>
      <c r="H46" s="25">
        <f>SUM(D46:G46)</f>
        <v>1062</v>
      </c>
    </row>
    <row r="47" spans="2:8" x14ac:dyDescent="0.2">
      <c r="B47" s="18" t="s">
        <v>24</v>
      </c>
      <c r="C47" s="18"/>
      <c r="D47" s="21">
        <f>IF(D27&gt;D31,D25*(D27-D32),0)</f>
        <v>0</v>
      </c>
      <c r="E47" s="21">
        <f>IF(E27&gt;E31,E25*(E27-E32),0)</f>
        <v>0</v>
      </c>
      <c r="F47" s="21">
        <f>IF(F27&gt;F31,F25*(F27-F32),0)</f>
        <v>0</v>
      </c>
      <c r="G47" s="21">
        <f>IF(G27&gt;G31,G25*(G27-G32),0)</f>
        <v>0</v>
      </c>
      <c r="H47" s="21">
        <f>SUM(D47:G47)</f>
        <v>0</v>
      </c>
    </row>
    <row r="48" spans="2:8" ht="16.5" x14ac:dyDescent="0.35">
      <c r="B48" s="18" t="s">
        <v>25</v>
      </c>
      <c r="C48" s="18"/>
      <c r="D48" s="26">
        <f>D44*D32</f>
        <v>0</v>
      </c>
      <c r="E48" s="26">
        <f>E44*E32</f>
        <v>0</v>
      </c>
      <c r="F48" s="26">
        <f>F44*F32</f>
        <v>0</v>
      </c>
      <c r="G48" s="26">
        <f>G44*G32</f>
        <v>0</v>
      </c>
      <c r="H48" s="26">
        <f t="shared" ref="H48" si="2">SUM(D48:G48)</f>
        <v>0</v>
      </c>
    </row>
    <row r="49" spans="2:9" x14ac:dyDescent="0.2">
      <c r="B49" s="18"/>
      <c r="C49" s="18"/>
      <c r="D49" s="21"/>
      <c r="E49" s="21"/>
      <c r="F49" s="21"/>
      <c r="G49" s="21"/>
      <c r="H49" s="21"/>
      <c r="I49" s="17"/>
    </row>
    <row r="50" spans="2:9" ht="15" x14ac:dyDescent="0.25">
      <c r="B50" s="19" t="s">
        <v>26</v>
      </c>
      <c r="C50" s="19"/>
      <c r="D50" s="25">
        <f>D46-D47-D48</f>
        <v>1062</v>
      </c>
      <c r="E50" s="25">
        <f t="shared" ref="E50:H50" si="3">E46-E47-E48</f>
        <v>0</v>
      </c>
      <c r="F50" s="25">
        <f t="shared" si="3"/>
        <v>0</v>
      </c>
      <c r="G50" s="25">
        <f t="shared" si="3"/>
        <v>0</v>
      </c>
      <c r="H50" s="25">
        <f t="shared" si="3"/>
        <v>1062</v>
      </c>
    </row>
    <row r="51" spans="2:9" x14ac:dyDescent="0.2">
      <c r="B51" s="18" t="s">
        <v>27</v>
      </c>
      <c r="C51" s="18"/>
      <c r="D51" s="21">
        <f>IF(D25&gt;0,D50*D35%,0)</f>
        <v>1019.52</v>
      </c>
      <c r="E51" s="21">
        <f>IF(E25&gt;0,E50*E35%,0)</f>
        <v>0</v>
      </c>
      <c r="F51" s="21">
        <f>IF(F25&gt;0,F50*F35%,0)</f>
        <v>0</v>
      </c>
      <c r="G51" s="21">
        <f>IF(G25&gt;0,G50*G35%,0)</f>
        <v>0</v>
      </c>
      <c r="H51" s="21">
        <f>SUM(D51:G51)</f>
        <v>1019.52</v>
      </c>
    </row>
    <row r="52" spans="2:9" x14ac:dyDescent="0.2">
      <c r="B52" s="18"/>
      <c r="C52" s="18"/>
      <c r="D52" s="21"/>
      <c r="E52" s="21"/>
      <c r="F52" s="21"/>
      <c r="G52" s="21"/>
      <c r="H52" s="21"/>
    </row>
    <row r="53" spans="2:9" x14ac:dyDescent="0.2">
      <c r="B53" s="18"/>
      <c r="C53" s="18"/>
      <c r="D53" s="21"/>
      <c r="E53" s="21"/>
      <c r="F53" s="21"/>
      <c r="G53" s="21"/>
      <c r="H53" s="21"/>
    </row>
    <row r="54" spans="2:9" x14ac:dyDescent="0.2">
      <c r="B54" s="18"/>
      <c r="C54" s="18"/>
      <c r="D54" s="21"/>
      <c r="E54" s="21"/>
      <c r="F54" s="21"/>
      <c r="G54" s="21"/>
      <c r="H54" s="21"/>
    </row>
    <row r="55" spans="2:9" x14ac:dyDescent="0.2">
      <c r="B55" s="18"/>
      <c r="C55" s="18"/>
      <c r="D55" s="21"/>
      <c r="E55" s="21"/>
      <c r="F55" s="21"/>
      <c r="G55" s="21"/>
      <c r="H55" s="21"/>
    </row>
    <row r="56" spans="2:9" ht="13.9" customHeight="1" x14ac:dyDescent="0.2">
      <c r="B56" s="306" t="s">
        <v>76</v>
      </c>
      <c r="C56" s="307"/>
      <c r="D56" s="307"/>
      <c r="E56" s="307"/>
      <c r="F56" s="307"/>
      <c r="G56" s="307"/>
      <c r="H56" s="308"/>
    </row>
    <row r="57" spans="2:9" x14ac:dyDescent="0.2">
      <c r="B57" s="309"/>
      <c r="C57" s="310"/>
      <c r="D57" s="310"/>
      <c r="E57" s="310"/>
      <c r="F57" s="310"/>
      <c r="G57" s="310"/>
      <c r="H57" s="311"/>
    </row>
    <row r="58" spans="2:9" x14ac:dyDescent="0.2">
      <c r="B58" s="312"/>
      <c r="C58" s="313"/>
      <c r="D58" s="313"/>
      <c r="E58" s="313"/>
      <c r="F58" s="313"/>
      <c r="G58" s="313"/>
      <c r="H58" s="314"/>
    </row>
    <row r="59" spans="2:9" x14ac:dyDescent="0.2">
      <c r="B59" s="18"/>
      <c r="C59" s="18"/>
      <c r="D59" s="21"/>
      <c r="E59" s="21"/>
      <c r="F59" s="21"/>
      <c r="G59" s="21"/>
      <c r="H59" s="21"/>
    </row>
    <row r="60" spans="2:9" ht="15" x14ac:dyDescent="0.25">
      <c r="B60" s="277" t="s">
        <v>69</v>
      </c>
      <c r="C60" s="278"/>
      <c r="D60" s="66"/>
      <c r="E60" s="66"/>
      <c r="F60" s="66"/>
      <c r="G60" s="66"/>
      <c r="H60" s="67"/>
    </row>
    <row r="61" spans="2:9" x14ac:dyDescent="0.2">
      <c r="B61" s="68" t="s">
        <v>13</v>
      </c>
      <c r="C61" s="65"/>
      <c r="D61" s="69">
        <f>+D46</f>
        <v>1062</v>
      </c>
      <c r="E61" s="69">
        <f>+E46</f>
        <v>0</v>
      </c>
      <c r="F61" s="69">
        <f>+F46</f>
        <v>0</v>
      </c>
      <c r="G61" s="69">
        <f>+G46</f>
        <v>0</v>
      </c>
      <c r="H61" s="70">
        <f>SUM(D61:G61)</f>
        <v>1062</v>
      </c>
    </row>
    <row r="62" spans="2:9" ht="16.5" x14ac:dyDescent="0.35">
      <c r="B62" s="68" t="s">
        <v>12</v>
      </c>
      <c r="C62" s="65"/>
      <c r="D62" s="71">
        <f>+D51</f>
        <v>1019.52</v>
      </c>
      <c r="E62" s="71">
        <f>+E51</f>
        <v>0</v>
      </c>
      <c r="F62" s="71">
        <f>+F51</f>
        <v>0</v>
      </c>
      <c r="G62" s="71">
        <f>+G51</f>
        <v>0</v>
      </c>
      <c r="H62" s="72">
        <f>SUM(D62:G62)</f>
        <v>1019.52</v>
      </c>
    </row>
    <row r="63" spans="2:9" s="15" customFormat="1" ht="15" x14ac:dyDescent="0.25">
      <c r="B63" s="73" t="s">
        <v>40</v>
      </c>
      <c r="C63" s="74"/>
      <c r="D63" s="75">
        <f>D61-D62</f>
        <v>42.480000000000018</v>
      </c>
      <c r="E63" s="75">
        <f t="shared" ref="E63:H63" si="4">E61-E62</f>
        <v>0</v>
      </c>
      <c r="F63" s="75">
        <f t="shared" si="4"/>
        <v>0</v>
      </c>
      <c r="G63" s="75">
        <f t="shared" si="4"/>
        <v>0</v>
      </c>
      <c r="H63" s="76">
        <f t="shared" si="4"/>
        <v>42.480000000000018</v>
      </c>
    </row>
    <row r="64" spans="2:9" x14ac:dyDescent="0.2">
      <c r="B64" s="68"/>
      <c r="C64" s="65"/>
      <c r="D64" s="69"/>
      <c r="E64" s="69"/>
      <c r="F64" s="69"/>
      <c r="G64" s="69"/>
      <c r="H64" s="70"/>
    </row>
    <row r="65" spans="2:8" ht="15" x14ac:dyDescent="0.25">
      <c r="B65" s="73" t="s">
        <v>41</v>
      </c>
      <c r="C65" s="65"/>
      <c r="D65" s="69"/>
      <c r="E65" s="69"/>
      <c r="F65" s="69"/>
      <c r="G65" s="69"/>
      <c r="H65" s="70"/>
    </row>
    <row r="66" spans="2:8" x14ac:dyDescent="0.2">
      <c r="B66" s="68" t="s">
        <v>37</v>
      </c>
      <c r="C66" s="65"/>
      <c r="D66" s="69">
        <f t="shared" ref="D66:G67" si="5">+D47</f>
        <v>0</v>
      </c>
      <c r="E66" s="69">
        <f t="shared" si="5"/>
        <v>0</v>
      </c>
      <c r="F66" s="69">
        <f t="shared" si="5"/>
        <v>0</v>
      </c>
      <c r="G66" s="69">
        <f t="shared" si="5"/>
        <v>0</v>
      </c>
      <c r="H66" s="70">
        <f>SUM(D66:G66)</f>
        <v>0</v>
      </c>
    </row>
    <row r="67" spans="2:8" x14ac:dyDescent="0.2">
      <c r="B67" s="68" t="s">
        <v>38</v>
      </c>
      <c r="C67" s="65"/>
      <c r="D67" s="69">
        <f t="shared" si="5"/>
        <v>0</v>
      </c>
      <c r="E67" s="69">
        <f t="shared" si="5"/>
        <v>0</v>
      </c>
      <c r="F67" s="69">
        <f t="shared" si="5"/>
        <v>0</v>
      </c>
      <c r="G67" s="69">
        <f t="shared" si="5"/>
        <v>0</v>
      </c>
      <c r="H67" s="70">
        <f>SUM(D67:G67)</f>
        <v>0</v>
      </c>
    </row>
    <row r="68" spans="2:8" ht="16.5" x14ac:dyDescent="0.35">
      <c r="B68" s="68" t="s">
        <v>39</v>
      </c>
      <c r="C68" s="65"/>
      <c r="D68" s="71">
        <f>D50-D51</f>
        <v>42.480000000000018</v>
      </c>
      <c r="E68" s="71">
        <f>E50-E51</f>
        <v>0</v>
      </c>
      <c r="F68" s="71">
        <f>F50-F51</f>
        <v>0</v>
      </c>
      <c r="G68" s="71">
        <f>G50-G51</f>
        <v>0</v>
      </c>
      <c r="H68" s="72">
        <f>SUM(D68:G68)</f>
        <v>42.480000000000018</v>
      </c>
    </row>
    <row r="69" spans="2:8" ht="15" x14ac:dyDescent="0.25">
      <c r="B69" s="77" t="s">
        <v>70</v>
      </c>
      <c r="C69" s="78"/>
      <c r="D69" s="79">
        <f>SUM(D66:D68)</f>
        <v>42.480000000000018</v>
      </c>
      <c r="E69" s="79">
        <f>SUM(E66:E68)</f>
        <v>0</v>
      </c>
      <c r="F69" s="79">
        <f>SUM(F66:F68)</f>
        <v>0</v>
      </c>
      <c r="G69" s="79">
        <f>SUM(G66:G68)</f>
        <v>0</v>
      </c>
      <c r="H69" s="80">
        <f>SUM(H66:H68)</f>
        <v>42.480000000000018</v>
      </c>
    </row>
    <row r="70" spans="2:8" x14ac:dyDescent="0.2">
      <c r="B70" s="18"/>
      <c r="C70" s="18"/>
      <c r="D70" s="18"/>
      <c r="E70" s="18"/>
      <c r="F70" s="18"/>
      <c r="G70" s="18"/>
      <c r="H70" s="21"/>
    </row>
    <row r="71" spans="2:8" x14ac:dyDescent="0.2">
      <c r="B71" s="18"/>
      <c r="C71" s="18"/>
      <c r="D71" s="18"/>
      <c r="E71" s="18"/>
      <c r="F71" s="18"/>
      <c r="G71" s="18"/>
      <c r="H71" s="21"/>
    </row>
    <row r="72" spans="2:8" ht="15" x14ac:dyDescent="0.25">
      <c r="B72" s="277" t="s">
        <v>46</v>
      </c>
      <c r="C72" s="278"/>
      <c r="D72" s="84"/>
      <c r="E72" s="84"/>
      <c r="F72" s="84"/>
      <c r="G72" s="84"/>
      <c r="H72" s="85"/>
    </row>
    <row r="73" spans="2:8" x14ac:dyDescent="0.2">
      <c r="B73" s="86" t="s">
        <v>13</v>
      </c>
      <c r="C73" s="83"/>
      <c r="D73" s="87" t="e">
        <f>+#REF!</f>
        <v>#REF!</v>
      </c>
      <c r="E73" s="87" t="e">
        <f>+#REF!</f>
        <v>#REF!</v>
      </c>
      <c r="F73" s="87" t="e">
        <f>+#REF!</f>
        <v>#REF!</v>
      </c>
      <c r="G73" s="87" t="e">
        <f>+#REF!</f>
        <v>#REF!</v>
      </c>
      <c r="H73" s="88" t="e">
        <f>SUM(D73:G73)</f>
        <v>#REF!</v>
      </c>
    </row>
    <row r="74" spans="2:8" ht="16.5" x14ac:dyDescent="0.35">
      <c r="B74" s="86" t="s">
        <v>12</v>
      </c>
      <c r="C74" s="83"/>
      <c r="D74" s="89" t="e">
        <f>+#REF!</f>
        <v>#REF!</v>
      </c>
      <c r="E74" s="89" t="e">
        <f>+#REF!</f>
        <v>#REF!</v>
      </c>
      <c r="F74" s="89" t="e">
        <f>+#REF!</f>
        <v>#REF!</v>
      </c>
      <c r="G74" s="89" t="e">
        <f>+#REF!</f>
        <v>#REF!</v>
      </c>
      <c r="H74" s="90" t="e">
        <f>SUM(D74:G74)</f>
        <v>#REF!</v>
      </c>
    </row>
    <row r="75" spans="2:8" s="15" customFormat="1" ht="15" x14ac:dyDescent="0.25">
      <c r="B75" s="91" t="s">
        <v>40</v>
      </c>
      <c r="C75" s="92"/>
      <c r="D75" s="93" t="e">
        <f>D73-D74</f>
        <v>#REF!</v>
      </c>
      <c r="E75" s="93" t="e">
        <f t="shared" ref="E75:H75" si="6">E73-E74</f>
        <v>#REF!</v>
      </c>
      <c r="F75" s="93" t="e">
        <f t="shared" si="6"/>
        <v>#REF!</v>
      </c>
      <c r="G75" s="93" t="e">
        <f t="shared" si="6"/>
        <v>#REF!</v>
      </c>
      <c r="H75" s="94" t="e">
        <f t="shared" si="6"/>
        <v>#REF!</v>
      </c>
    </row>
    <row r="76" spans="2:8" x14ac:dyDescent="0.2">
      <c r="B76" s="86"/>
      <c r="C76" s="83"/>
      <c r="D76" s="87"/>
      <c r="E76" s="87"/>
      <c r="F76" s="87"/>
      <c r="G76" s="87"/>
      <c r="H76" s="88"/>
    </row>
    <row r="77" spans="2:8" ht="15" x14ac:dyDescent="0.25">
      <c r="B77" s="91" t="s">
        <v>41</v>
      </c>
      <c r="C77" s="83"/>
      <c r="D77" s="87"/>
      <c r="E77" s="87"/>
      <c r="F77" s="87"/>
      <c r="G77" s="87"/>
      <c r="H77" s="88"/>
    </row>
    <row r="78" spans="2:8" x14ac:dyDescent="0.2">
      <c r="B78" s="86" t="s">
        <v>37</v>
      </c>
      <c r="C78" s="83"/>
      <c r="D78" s="87" t="e">
        <f>+#REF!</f>
        <v>#REF!</v>
      </c>
      <c r="E78" s="87" t="e">
        <f>+#REF!</f>
        <v>#REF!</v>
      </c>
      <c r="F78" s="87" t="e">
        <f>+#REF!</f>
        <v>#REF!</v>
      </c>
      <c r="G78" s="87" t="e">
        <f>+#REF!</f>
        <v>#REF!</v>
      </c>
      <c r="H78" s="88" t="e">
        <f>SUM(D78:G78)</f>
        <v>#REF!</v>
      </c>
    </row>
    <row r="79" spans="2:8" x14ac:dyDescent="0.2">
      <c r="B79" s="86" t="s">
        <v>38</v>
      </c>
      <c r="C79" s="83"/>
      <c r="D79" s="87" t="e">
        <f>+#REF!</f>
        <v>#REF!</v>
      </c>
      <c r="E79" s="87" t="e">
        <f>+#REF!</f>
        <v>#REF!</v>
      </c>
      <c r="F79" s="87" t="e">
        <f>+#REF!</f>
        <v>#REF!</v>
      </c>
      <c r="G79" s="87" t="e">
        <f>+#REF!</f>
        <v>#REF!</v>
      </c>
      <c r="H79" s="88" t="e">
        <f>SUM(D79:G79)</f>
        <v>#REF!</v>
      </c>
    </row>
    <row r="80" spans="2:8" ht="16.5" x14ac:dyDescent="0.35">
      <c r="B80" s="86" t="s">
        <v>39</v>
      </c>
      <c r="C80" s="83"/>
      <c r="D80" s="89" t="e">
        <f>+#REF!</f>
        <v>#REF!</v>
      </c>
      <c r="E80" s="89" t="e">
        <f>+#REF!</f>
        <v>#REF!</v>
      </c>
      <c r="F80" s="89" t="e">
        <f>+#REF!</f>
        <v>#REF!</v>
      </c>
      <c r="G80" s="89" t="e">
        <f>+#REF!</f>
        <v>#REF!</v>
      </c>
      <c r="H80" s="90" t="e">
        <f>SUM(D80:G80)</f>
        <v>#REF!</v>
      </c>
    </row>
    <row r="81" spans="2:8" ht="15" x14ac:dyDescent="0.25">
      <c r="B81" s="95" t="s">
        <v>60</v>
      </c>
      <c r="C81" s="96"/>
      <c r="D81" s="97" t="e">
        <f>SUM(D78:D80)</f>
        <v>#REF!</v>
      </c>
      <c r="E81" s="97" t="e">
        <f t="shared" ref="E81:G81" si="7">SUM(E78:E80)</f>
        <v>#REF!</v>
      </c>
      <c r="F81" s="97" t="e">
        <f t="shared" si="7"/>
        <v>#REF!</v>
      </c>
      <c r="G81" s="97" t="e">
        <f t="shared" si="7"/>
        <v>#REF!</v>
      </c>
      <c r="H81" s="98" t="e">
        <f>SUM(H78:H80)</f>
        <v>#REF!</v>
      </c>
    </row>
    <row r="82" spans="2:8" ht="15" x14ac:dyDescent="0.25">
      <c r="B82" s="19"/>
      <c r="C82" s="18"/>
      <c r="D82" s="25"/>
      <c r="E82" s="25"/>
      <c r="F82" s="25"/>
      <c r="G82" s="25"/>
      <c r="H82" s="25"/>
    </row>
    <row r="83" spans="2:8" ht="13.9" customHeight="1" x14ac:dyDescent="0.2">
      <c r="B83" s="317" t="s">
        <v>77</v>
      </c>
      <c r="C83" s="318"/>
      <c r="D83" s="318"/>
      <c r="E83" s="318"/>
      <c r="F83" s="318"/>
      <c r="G83" s="318"/>
      <c r="H83" s="319"/>
    </row>
    <row r="84" spans="2:8" x14ac:dyDescent="0.2">
      <c r="B84" s="320"/>
      <c r="C84" s="321"/>
      <c r="D84" s="321"/>
      <c r="E84" s="321"/>
      <c r="F84" s="321"/>
      <c r="G84" s="321"/>
      <c r="H84" s="322"/>
    </row>
    <row r="85" spans="2:8" ht="15" x14ac:dyDescent="0.25">
      <c r="B85" s="323" t="str">
        <f>IF(D35&lt;&gt;D36,"LET OP : DE INKOMENS OVER DE 2 JAREN VERSCHILLEN DUSDANIG DAT ER EEN VERSCHIL IS IN DE TOESLAGEN"," ")</f>
        <v>LET OP : DE INKOMENS OVER DE 2 JAREN VERSCHILLEN DUSDANIG DAT ER EEN VERSCHIL IS IN DE TOESLAGEN</v>
      </c>
      <c r="C85" s="323"/>
      <c r="D85" s="323"/>
      <c r="E85" s="323"/>
      <c r="F85" s="323"/>
      <c r="G85" s="323"/>
      <c r="H85" s="323"/>
    </row>
    <row r="86" spans="2:8" ht="15" x14ac:dyDescent="0.25">
      <c r="B86" s="323" t="str">
        <f>IF(D25&lt;&gt;D26,"LET OP : ER IS GEEN REKENING GEHOUDEN MET EEN VERSCHIL IN AANTAL KINDEROPVANGUREN TUSSEN DE 2 JAREN !"," ")</f>
        <v>LET OP : ER IS GEEN REKENING GEHOUDEN MET EEN VERSCHIL IN AANTAL KINDEROPVANGUREN TUSSEN DE 2 JAREN !</v>
      </c>
      <c r="C86" s="323"/>
      <c r="D86" s="323"/>
      <c r="E86" s="323"/>
      <c r="F86" s="323"/>
      <c r="G86" s="323"/>
      <c r="H86" s="323"/>
    </row>
    <row r="87" spans="2:8" ht="15" x14ac:dyDescent="0.25">
      <c r="B87" s="54" t="s">
        <v>78</v>
      </c>
      <c r="C87" s="45"/>
      <c r="D87" s="46"/>
      <c r="E87" s="46"/>
      <c r="F87" s="46"/>
      <c r="G87" s="46"/>
      <c r="H87" s="47"/>
    </row>
    <row r="88" spans="2:8" x14ac:dyDescent="0.2">
      <c r="B88" s="48" t="s">
        <v>13</v>
      </c>
      <c r="C88" s="49"/>
      <c r="D88" s="55" t="e">
        <f>D73-D61</f>
        <v>#REF!</v>
      </c>
      <c r="E88" s="55" t="e">
        <f>E73-E61</f>
        <v>#REF!</v>
      </c>
      <c r="F88" s="55" t="e">
        <f>F73-F61</f>
        <v>#REF!</v>
      </c>
      <c r="G88" s="55" t="e">
        <f>G73-G61</f>
        <v>#REF!</v>
      </c>
      <c r="H88" s="56" t="e">
        <f>H73-H61</f>
        <v>#REF!</v>
      </c>
    </row>
    <row r="89" spans="2:8" ht="16.5" x14ac:dyDescent="0.35">
      <c r="B89" s="48" t="s">
        <v>12</v>
      </c>
      <c r="C89" s="49"/>
      <c r="D89" s="57" t="e">
        <f>D62-D74</f>
        <v>#REF!</v>
      </c>
      <c r="E89" s="57" t="e">
        <f>E62-E74</f>
        <v>#REF!</v>
      </c>
      <c r="F89" s="57" t="e">
        <f>F62-F74</f>
        <v>#REF!</v>
      </c>
      <c r="G89" s="57" t="e">
        <f>G62-G74</f>
        <v>#REF!</v>
      </c>
      <c r="H89" s="58" t="e">
        <f>H62-H74</f>
        <v>#REF!</v>
      </c>
    </row>
    <row r="90" spans="2:8" ht="15" x14ac:dyDescent="0.25">
      <c r="B90" s="50" t="s">
        <v>40</v>
      </c>
      <c r="C90" s="51"/>
      <c r="D90" s="59" t="e">
        <f>D75-D63</f>
        <v>#REF!</v>
      </c>
      <c r="E90" s="59" t="e">
        <f>E75-E63</f>
        <v>#REF!</v>
      </c>
      <c r="F90" s="59" t="e">
        <f>F75-F63</f>
        <v>#REF!</v>
      </c>
      <c r="G90" s="59" t="e">
        <f>G75-G63</f>
        <v>#REF!</v>
      </c>
      <c r="H90" s="60" t="e">
        <f>H75-H63</f>
        <v>#REF!</v>
      </c>
    </row>
    <row r="91" spans="2:8" x14ac:dyDescent="0.2">
      <c r="B91" s="48"/>
      <c r="C91" s="49"/>
      <c r="D91" s="55"/>
      <c r="E91" s="55"/>
      <c r="F91" s="55"/>
      <c r="G91" s="55"/>
      <c r="H91" s="56"/>
    </row>
    <row r="92" spans="2:8" ht="15" x14ac:dyDescent="0.25">
      <c r="B92" s="50" t="s">
        <v>41</v>
      </c>
      <c r="C92" s="49"/>
      <c r="D92" s="55"/>
      <c r="E92" s="55"/>
      <c r="F92" s="55"/>
      <c r="G92" s="55"/>
      <c r="H92" s="56"/>
    </row>
    <row r="93" spans="2:8" x14ac:dyDescent="0.2">
      <c r="B93" s="48" t="s">
        <v>37</v>
      </c>
      <c r="C93" s="49"/>
      <c r="D93" s="55" t="e">
        <f t="shared" ref="D93:G95" si="8">D78-D66</f>
        <v>#REF!</v>
      </c>
      <c r="E93" s="55" t="e">
        <f t="shared" si="8"/>
        <v>#REF!</v>
      </c>
      <c r="F93" s="55" t="e">
        <f t="shared" si="8"/>
        <v>#REF!</v>
      </c>
      <c r="G93" s="55" t="e">
        <f t="shared" si="8"/>
        <v>#REF!</v>
      </c>
      <c r="H93" s="56" t="e">
        <f>SUM(D93:G93)</f>
        <v>#REF!</v>
      </c>
    </row>
    <row r="94" spans="2:8" x14ac:dyDescent="0.2">
      <c r="B94" s="48" t="s">
        <v>38</v>
      </c>
      <c r="C94" s="49"/>
      <c r="D94" s="55" t="e">
        <f t="shared" si="8"/>
        <v>#REF!</v>
      </c>
      <c r="E94" s="55" t="e">
        <f t="shared" si="8"/>
        <v>#REF!</v>
      </c>
      <c r="F94" s="55" t="e">
        <f t="shared" si="8"/>
        <v>#REF!</v>
      </c>
      <c r="G94" s="55" t="e">
        <f t="shared" si="8"/>
        <v>#REF!</v>
      </c>
      <c r="H94" s="56" t="e">
        <f>SUM(D94:G94)</f>
        <v>#REF!</v>
      </c>
    </row>
    <row r="95" spans="2:8" ht="16.5" x14ac:dyDescent="0.35">
      <c r="B95" s="48" t="s">
        <v>39</v>
      </c>
      <c r="C95" s="49"/>
      <c r="D95" s="57" t="e">
        <f t="shared" si="8"/>
        <v>#REF!</v>
      </c>
      <c r="E95" s="57" t="e">
        <f t="shared" si="8"/>
        <v>#REF!</v>
      </c>
      <c r="F95" s="57" t="e">
        <f t="shared" si="8"/>
        <v>#REF!</v>
      </c>
      <c r="G95" s="57" t="e">
        <f t="shared" si="8"/>
        <v>#REF!</v>
      </c>
      <c r="H95" s="58" t="e">
        <f>SUM(D95:G95)</f>
        <v>#REF!</v>
      </c>
    </row>
    <row r="96" spans="2:8" ht="15" x14ac:dyDescent="0.25">
      <c r="B96" s="52" t="s">
        <v>40</v>
      </c>
      <c r="C96" s="53"/>
      <c r="D96" s="61" t="e">
        <f>SUM(D93:D95)</f>
        <v>#REF!</v>
      </c>
      <c r="E96" s="61" t="e">
        <f t="shared" ref="E96" si="9">SUM(E93:E95)</f>
        <v>#REF!</v>
      </c>
      <c r="F96" s="61" t="e">
        <f t="shared" ref="F96" si="10">SUM(F93:F95)</f>
        <v>#REF!</v>
      </c>
      <c r="G96" s="61" t="e">
        <f t="shared" ref="G96" si="11">SUM(G93:G95)</f>
        <v>#REF!</v>
      </c>
      <c r="H96" s="62" t="e">
        <f>SUM(H93:H95)</f>
        <v>#REF!</v>
      </c>
    </row>
    <row r="97" spans="2:8" x14ac:dyDescent="0.2">
      <c r="B97" s="18"/>
      <c r="C97" s="18"/>
      <c r="D97" s="18"/>
      <c r="E97" s="18"/>
      <c r="F97" s="18"/>
      <c r="G97" s="18"/>
      <c r="H97" s="21"/>
    </row>
    <row r="98" spans="2:8" x14ac:dyDescent="0.2">
      <c r="B98" s="18"/>
      <c r="C98" s="18"/>
      <c r="D98" s="18"/>
      <c r="E98" s="18"/>
      <c r="F98" s="18"/>
      <c r="G98" s="18"/>
      <c r="H98" s="21"/>
    </row>
    <row r="99" spans="2:8" ht="13.9" customHeight="1" x14ac:dyDescent="0.2">
      <c r="B99" s="317" t="s">
        <v>49</v>
      </c>
      <c r="C99" s="318"/>
      <c r="D99" s="318"/>
      <c r="E99" s="318"/>
      <c r="F99" s="318"/>
      <c r="G99" s="318"/>
      <c r="H99" s="319"/>
    </row>
    <row r="100" spans="2:8" x14ac:dyDescent="0.2">
      <c r="B100" s="320"/>
      <c r="C100" s="321"/>
      <c r="D100" s="321"/>
      <c r="E100" s="321"/>
      <c r="F100" s="321"/>
      <c r="G100" s="321"/>
      <c r="H100" s="322"/>
    </row>
    <row r="101" spans="2:8" x14ac:dyDescent="0.2">
      <c r="B101" s="18"/>
      <c r="C101" s="18"/>
      <c r="D101" s="18"/>
      <c r="E101" s="18"/>
      <c r="F101" s="18"/>
      <c r="G101" s="18"/>
      <c r="H101" s="21"/>
    </row>
    <row r="102" spans="2:8" x14ac:dyDescent="0.2">
      <c r="B102" s="65" t="s">
        <v>71</v>
      </c>
      <c r="C102" s="65"/>
      <c r="D102" s="81">
        <f>IF(D$69&lt;&gt;0,D69/D$46,0)</f>
        <v>4.0000000000000015E-2</v>
      </c>
      <c r="E102" s="81">
        <f>IF(E$69&lt;&gt;0,E69/E$46,0)</f>
        <v>0</v>
      </c>
      <c r="F102" s="81">
        <f>IF(F$25&gt;0,F69/F$46,0)</f>
        <v>0</v>
      </c>
      <c r="G102" s="81">
        <f>IF(G$69&lt;&gt;0,G69/G$46,0)</f>
        <v>0</v>
      </c>
      <c r="H102" s="81">
        <f>IF(H$69&lt;&gt;0,H69/H$46,0)</f>
        <v>4.0000000000000015E-2</v>
      </c>
    </row>
    <row r="103" spans="2:8" x14ac:dyDescent="0.2">
      <c r="B103" s="65" t="s">
        <v>72</v>
      </c>
      <c r="C103" s="65"/>
      <c r="D103" s="81">
        <f>IF(D$69&lt;&gt;0,1-D102,0)</f>
        <v>0.96</v>
      </c>
      <c r="E103" s="81">
        <f t="shared" ref="E103:H103" si="12">IF(E$69&lt;&gt;0,1-E102,0)</f>
        <v>0</v>
      </c>
      <c r="F103" s="81">
        <f t="shared" si="12"/>
        <v>0</v>
      </c>
      <c r="G103" s="81">
        <f t="shared" si="12"/>
        <v>0</v>
      </c>
      <c r="H103" s="81">
        <f t="shared" si="12"/>
        <v>0.96</v>
      </c>
    </row>
    <row r="104" spans="2:8" x14ac:dyDescent="0.2">
      <c r="B104" s="18"/>
      <c r="C104" s="18"/>
      <c r="D104" s="23"/>
      <c r="E104" s="23"/>
      <c r="F104" s="23"/>
      <c r="G104" s="23"/>
      <c r="H104" s="23"/>
    </row>
    <row r="105" spans="2:8" x14ac:dyDescent="0.2">
      <c r="B105" s="83" t="s">
        <v>57</v>
      </c>
      <c r="C105" s="83"/>
      <c r="D105" s="99" t="e">
        <f>+#REF!</f>
        <v>#REF!</v>
      </c>
      <c r="E105" s="99" t="e">
        <f>+#REF!</f>
        <v>#REF!</v>
      </c>
      <c r="F105" s="99" t="e">
        <f>+#REF!</f>
        <v>#REF!</v>
      </c>
      <c r="G105" s="99" t="e">
        <f>+#REF!</f>
        <v>#REF!</v>
      </c>
      <c r="H105" s="99" t="e">
        <f>+#REF!</f>
        <v>#REF!</v>
      </c>
    </row>
    <row r="106" spans="2:8" x14ac:dyDescent="0.2">
      <c r="B106" s="83" t="s">
        <v>58</v>
      </c>
      <c r="C106" s="83"/>
      <c r="D106" s="99" t="e">
        <f>IF(D$69&lt;&gt;0,1-D105,0)</f>
        <v>#REF!</v>
      </c>
      <c r="E106" s="99">
        <f t="shared" ref="E106:H106" si="13">IF(E$69&lt;&gt;0,1-E105,0)</f>
        <v>0</v>
      </c>
      <c r="F106" s="99">
        <f t="shared" si="13"/>
        <v>0</v>
      </c>
      <c r="G106" s="99">
        <f t="shared" si="13"/>
        <v>0</v>
      </c>
      <c r="H106" s="99" t="e">
        <f t="shared" si="13"/>
        <v>#REF!</v>
      </c>
    </row>
    <row r="107" spans="2:8" x14ac:dyDescent="0.2">
      <c r="B107" s="18"/>
      <c r="C107" s="18"/>
      <c r="D107" s="23"/>
      <c r="E107" s="23"/>
      <c r="F107" s="23"/>
      <c r="G107" s="23"/>
      <c r="H107" s="23"/>
    </row>
    <row r="108" spans="2:8" hidden="1" x14ac:dyDescent="0.2">
      <c r="B108" s="100" t="s">
        <v>73</v>
      </c>
      <c r="C108" s="65"/>
      <c r="D108" s="81">
        <f t="shared" ref="D108:H109" si="14">+D40</f>
        <v>0</v>
      </c>
      <c r="E108" s="81" t="str">
        <f t="shared" si="14"/>
        <v xml:space="preserve"> </v>
      </c>
      <c r="F108" s="81" t="str">
        <f t="shared" si="14"/>
        <v xml:space="preserve"> </v>
      </c>
      <c r="G108" s="81" t="str">
        <f t="shared" si="14"/>
        <v xml:space="preserve"> </v>
      </c>
      <c r="H108" s="81">
        <f t="shared" si="14"/>
        <v>0</v>
      </c>
    </row>
    <row r="109" spans="2:8" hidden="1" x14ac:dyDescent="0.2">
      <c r="B109" s="101" t="s">
        <v>74</v>
      </c>
      <c r="C109" s="83"/>
      <c r="D109" s="99">
        <f t="shared" si="14"/>
        <v>0</v>
      </c>
      <c r="E109" s="99">
        <f t="shared" si="14"/>
        <v>0</v>
      </c>
      <c r="F109" s="99">
        <f t="shared" si="14"/>
        <v>0</v>
      </c>
      <c r="G109" s="99">
        <f t="shared" si="14"/>
        <v>0</v>
      </c>
      <c r="H109" s="99">
        <f t="shared" si="14"/>
        <v>0</v>
      </c>
    </row>
    <row r="110" spans="2:8" ht="15.6" hidden="1" customHeight="1" x14ac:dyDescent="0.25">
      <c r="B110" s="324" t="str">
        <f>IF(H108&gt;25%,"Een gedeelte van de maandelijkse kosten is dus het gevolg van het uurtarief van de kinderopvangorganisatie dat hoger is dan de maximale uurtariefvergoeding. Heb je wel eens een vergelijk gemaakt met de tarieven van een andere organisatie?"," ")</f>
        <v xml:space="preserve"> </v>
      </c>
      <c r="C110" s="324"/>
      <c r="D110" s="324"/>
      <c r="E110" s="324"/>
      <c r="F110" s="324"/>
      <c r="G110" s="324"/>
      <c r="H110" s="324"/>
    </row>
    <row r="111" spans="2:8" ht="15.6" customHeight="1" x14ac:dyDescent="0.2">
      <c r="B111" s="325" t="s">
        <v>50</v>
      </c>
      <c r="C111" s="326"/>
      <c r="D111" s="326"/>
      <c r="E111" s="326"/>
      <c r="F111" s="326"/>
      <c r="G111" s="326"/>
      <c r="H111" s="327"/>
    </row>
    <row r="112" spans="2:8" ht="13.9" customHeight="1" x14ac:dyDescent="0.2">
      <c r="B112" s="328"/>
      <c r="C112" s="324"/>
      <c r="D112" s="324"/>
      <c r="E112" s="324"/>
      <c r="F112" s="324"/>
      <c r="G112" s="324"/>
      <c r="H112" s="329"/>
    </row>
    <row r="113" spans="2:8" x14ac:dyDescent="0.2">
      <c r="B113" s="9"/>
      <c r="C113" s="9"/>
      <c r="D113" s="9"/>
      <c r="E113" s="9"/>
      <c r="F113" s="9"/>
      <c r="G113" s="9"/>
      <c r="H113" s="10"/>
    </row>
    <row r="114" spans="2:8" x14ac:dyDescent="0.2">
      <c r="B114" s="30" t="s">
        <v>20</v>
      </c>
      <c r="C114" s="31"/>
      <c r="D114" s="31"/>
      <c r="E114" s="32" t="s">
        <v>33</v>
      </c>
      <c r="F114" s="31"/>
      <c r="G114" s="31"/>
      <c r="H114" s="33"/>
    </row>
    <row r="115" spans="2:8" x14ac:dyDescent="0.2">
      <c r="B115" s="34" t="s">
        <v>21</v>
      </c>
      <c r="C115" s="43"/>
      <c r="D115" s="43"/>
      <c r="E115" s="35" t="s">
        <v>34</v>
      </c>
      <c r="F115" s="43"/>
      <c r="G115" s="43"/>
      <c r="H115" s="36"/>
    </row>
    <row r="116" spans="2:8" x14ac:dyDescent="0.2">
      <c r="B116" s="34" t="s">
        <v>28</v>
      </c>
      <c r="C116" s="43"/>
      <c r="D116" s="43"/>
      <c r="E116" s="37" t="s">
        <v>35</v>
      </c>
      <c r="F116" s="43"/>
      <c r="G116" s="43"/>
      <c r="H116" s="38"/>
    </row>
    <row r="117" spans="2:8" x14ac:dyDescent="0.2">
      <c r="B117" s="39" t="s">
        <v>31</v>
      </c>
      <c r="C117" s="40"/>
      <c r="D117" s="40"/>
      <c r="E117" s="41" t="s">
        <v>32</v>
      </c>
      <c r="F117" s="40"/>
      <c r="G117" s="40"/>
      <c r="H117" s="42"/>
    </row>
    <row r="118" spans="2:8" hidden="1" x14ac:dyDescent="0.2">
      <c r="B118" s="39" t="s">
        <v>44</v>
      </c>
      <c r="C118" s="40"/>
      <c r="D118" s="40"/>
      <c r="E118" s="41" t="s">
        <v>43</v>
      </c>
      <c r="F118" s="40"/>
      <c r="G118" s="40"/>
      <c r="H118" s="42"/>
    </row>
    <row r="119" spans="2:8" ht="28.15" customHeight="1" x14ac:dyDescent="0.25">
      <c r="B119" s="315" t="s">
        <v>42</v>
      </c>
      <c r="C119" s="315"/>
      <c r="D119" s="315"/>
      <c r="E119" s="315"/>
      <c r="F119" s="315"/>
      <c r="G119" s="315"/>
      <c r="H119" s="315"/>
    </row>
    <row r="120" spans="2:8" x14ac:dyDescent="0.2">
      <c r="B120" s="316" t="s">
        <v>81</v>
      </c>
      <c r="C120" s="316"/>
      <c r="D120" s="316"/>
      <c r="E120" s="316"/>
      <c r="F120" s="316"/>
      <c r="G120" s="316"/>
      <c r="H120" s="316"/>
    </row>
  </sheetData>
  <sheetProtection selectLockedCells="1"/>
  <mergeCells count="20">
    <mergeCell ref="C14:E14"/>
    <mergeCell ref="B119:H119"/>
    <mergeCell ref="B1:H1"/>
    <mergeCell ref="B3:H3"/>
    <mergeCell ref="B120:H120"/>
    <mergeCell ref="B110:H110"/>
    <mergeCell ref="B2:H2"/>
    <mergeCell ref="B4:H4"/>
    <mergeCell ref="B6:H9"/>
    <mergeCell ref="B10:H10"/>
    <mergeCell ref="B56:H58"/>
    <mergeCell ref="B83:H84"/>
    <mergeCell ref="B99:H100"/>
    <mergeCell ref="B60:C60"/>
    <mergeCell ref="B72:C72"/>
    <mergeCell ref="B86:H86"/>
    <mergeCell ref="B111:H112"/>
    <mergeCell ref="B85:H85"/>
    <mergeCell ref="C12:E12"/>
    <mergeCell ref="C13:E13"/>
  </mergeCells>
  <dataValidations xWindow="795" yWindow="724" count="3">
    <dataValidation type="decimal" allowBlank="1" showInputMessage="1" showErrorMessage="1" errorTitle="Fout" error="Voer een uurtarief in tussen 5,00 en 25,00" promptTitle="Voer het uurtarief" prompt="Voer het uurtarief in wat de _x000a_organisatie in rekening brengt_x000a_" sqref="D27:G28">
      <formula1>5</formula1>
      <formula2>25</formula2>
    </dataValidation>
    <dataValidation type="decimal" allowBlank="1" showInputMessage="1" showErrorMessage="1" errorTitle="Fout" error="Voer hier de kinderopvanguren in , een getal tussen 0 en 260" promptTitle="Voer aantal maanduren in" prompt="Voer hier het aantal kinderopvang uren per maand in welke door de organisatie in rekening wordt gebracht_x000a_" sqref="D25:G26">
      <formula1>0</formula1>
      <formula2>260</formula2>
    </dataValidation>
    <dataValidation type="whole" errorStyle="information" allowBlank="1" showInputMessage="1" showErrorMessage="1" errorTitle="Foutmelding" error="Een heel getal tussen 0 en 999.999" sqref="C19:C20">
      <formula1>0</formula1>
      <formula2>999999</formula2>
    </dataValidation>
  </dataValidations>
  <hyperlinks>
    <hyperlink ref="B3:H3" r:id="rId1" display="https://www.kinderopvang-wijzer.nl/"/>
    <hyperlink ref="E118" r:id="rId2"/>
    <hyperlink ref="E117" r:id="rId3"/>
    <hyperlink ref="E116" r:id="rId4"/>
    <hyperlink ref="E115" r:id="rId5"/>
    <hyperlink ref="B3" r:id="rId6"/>
  </hyperlinks>
  <pageMargins left="0.70866141732283472" right="0.70866141732283472" top="0.74803149606299213" bottom="0.74803149606299213" header="0.31496062992125984" footer="0.31496062992125984"/>
  <pageSetup paperSize="9" scale="86" fitToHeight="0" orientation="landscape" horizontalDpi="4294967295" verticalDpi="4294967295" r:id="rId7"/>
  <extLst>
    <ext xmlns:x14="http://schemas.microsoft.com/office/spreadsheetml/2009/9/main" uri="{CCE6A557-97BC-4b89-ADB6-D9C93CAAB3DF}">
      <x14:dataValidations xmlns:xm="http://schemas.microsoft.com/office/excel/2006/main" xWindow="795" yWindow="724" count="1">
        <x14:dataValidation type="list" allowBlank="1" showInputMessage="1" showErrorMessage="1" promptTitle="Selecteer opvangvorm" prompt="Selecteer opvangvorm KDV (kinderdagverblijf), BSO (buitenschoolse opvang) of Gastouderopvang">
          <x14:formula1>
            <xm:f>basisinfo2025!$A$1:$A$3</xm:f>
          </x14:formula1>
          <xm:sqref>D24:G24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workbookViewId="0">
      <selection activeCell="E71" sqref="E71"/>
    </sheetView>
  </sheetViews>
  <sheetFormatPr defaultColWidth="0" defaultRowHeight="14.25" zeroHeight="1" x14ac:dyDescent="0.2"/>
  <cols>
    <col min="1" max="1" width="8.85546875" style="14" customWidth="1"/>
    <col min="2" max="2" width="52.28515625" style="14" customWidth="1"/>
    <col min="3" max="3" width="15.28515625" style="14" customWidth="1"/>
    <col min="4" max="7" width="15.7109375" style="14" customWidth="1"/>
    <col min="8" max="8" width="12.7109375" style="16" customWidth="1"/>
    <col min="9" max="9" width="5.85546875" style="14" customWidth="1"/>
    <col min="10" max="16384" width="8.85546875" style="14" hidden="1"/>
  </cols>
  <sheetData>
    <row r="1" spans="2:8" ht="17.45" customHeight="1" x14ac:dyDescent="0.25">
      <c r="B1" s="279" t="s">
        <v>75</v>
      </c>
      <c r="C1" s="280"/>
      <c r="D1" s="280"/>
      <c r="E1" s="280"/>
      <c r="F1" s="280"/>
      <c r="G1" s="280"/>
      <c r="H1" s="281"/>
    </row>
    <row r="2" spans="2:8" ht="17.45" customHeight="1" x14ac:dyDescent="0.25">
      <c r="B2" s="282" t="s">
        <v>82</v>
      </c>
      <c r="C2" s="283"/>
      <c r="D2" s="283"/>
      <c r="E2" s="283"/>
      <c r="F2" s="283"/>
      <c r="G2" s="283"/>
      <c r="H2" s="284"/>
    </row>
    <row r="3" spans="2:8" ht="15" x14ac:dyDescent="0.25">
      <c r="B3" s="285" t="s">
        <v>34</v>
      </c>
      <c r="C3" s="286"/>
      <c r="D3" s="286"/>
      <c r="E3" s="286"/>
      <c r="F3" s="286"/>
      <c r="G3" s="286"/>
      <c r="H3" s="287"/>
    </row>
    <row r="4" spans="2:8" ht="15" x14ac:dyDescent="0.25">
      <c r="B4" s="288" t="s">
        <v>81</v>
      </c>
      <c r="C4" s="289"/>
      <c r="D4" s="289"/>
      <c r="E4" s="289"/>
      <c r="F4" s="289"/>
      <c r="G4" s="289"/>
      <c r="H4" s="290"/>
    </row>
    <row r="5" spans="2:8" x14ac:dyDescent="0.2"/>
    <row r="6" spans="2:8" ht="13.9" customHeight="1" x14ac:dyDescent="0.2">
      <c r="B6" s="291" t="s">
        <v>83</v>
      </c>
      <c r="C6" s="292"/>
      <c r="D6" s="292"/>
      <c r="E6" s="292"/>
      <c r="F6" s="292"/>
      <c r="G6" s="292"/>
      <c r="H6" s="293"/>
    </row>
    <row r="7" spans="2:8" x14ac:dyDescent="0.2">
      <c r="B7" s="294"/>
      <c r="C7" s="295"/>
      <c r="D7" s="295"/>
      <c r="E7" s="295"/>
      <c r="F7" s="295"/>
      <c r="G7" s="295"/>
      <c r="H7" s="296"/>
    </row>
    <row r="8" spans="2:8" ht="13.9" hidden="1" customHeight="1" x14ac:dyDescent="0.2">
      <c r="B8" s="294"/>
      <c r="C8" s="295"/>
      <c r="D8" s="295"/>
      <c r="E8" s="295"/>
      <c r="F8" s="295"/>
      <c r="G8" s="295"/>
      <c r="H8" s="296"/>
    </row>
    <row r="9" spans="2:8" ht="13.9" hidden="1" customHeight="1" x14ac:dyDescent="0.2">
      <c r="B9" s="297"/>
      <c r="C9" s="298"/>
      <c r="D9" s="298"/>
      <c r="E9" s="298"/>
      <c r="F9" s="298"/>
      <c r="G9" s="298"/>
      <c r="H9" s="299"/>
    </row>
    <row r="10" spans="2:8" ht="15" x14ac:dyDescent="0.25">
      <c r="B10" s="300" t="s">
        <v>48</v>
      </c>
      <c r="C10" s="301"/>
      <c r="D10" s="301"/>
      <c r="E10" s="301"/>
      <c r="F10" s="301"/>
      <c r="G10" s="301"/>
      <c r="H10" s="302"/>
    </row>
    <row r="11" spans="2:8" x14ac:dyDescent="0.2">
      <c r="B11" s="109"/>
      <c r="C11" s="109"/>
      <c r="D11" s="109"/>
      <c r="E11" s="109"/>
      <c r="F11" s="109"/>
      <c r="G11" s="109"/>
      <c r="H11" s="109"/>
    </row>
    <row r="12" spans="2:8" ht="13.9" customHeight="1" x14ac:dyDescent="0.2">
      <c r="C12" s="303" t="s">
        <v>47</v>
      </c>
      <c r="D12" s="303"/>
      <c r="E12" s="303"/>
      <c r="F12" s="127"/>
      <c r="G12" s="127"/>
    </row>
    <row r="13" spans="2:8" ht="13.9" customHeight="1" x14ac:dyDescent="0.2">
      <c r="C13" s="304" t="s">
        <v>62</v>
      </c>
      <c r="D13" s="304"/>
      <c r="E13" s="304"/>
      <c r="F13" s="127"/>
      <c r="G13" s="127"/>
    </row>
    <row r="14" spans="2:8" ht="13.9" customHeight="1" x14ac:dyDescent="0.2">
      <c r="C14" s="305" t="s">
        <v>61</v>
      </c>
      <c r="D14" s="305"/>
      <c r="E14" s="305"/>
      <c r="F14" s="127"/>
      <c r="G14" s="127"/>
    </row>
    <row r="15" spans="2:8" hidden="1" x14ac:dyDescent="0.2">
      <c r="B15" s="127"/>
      <c r="C15" s="127"/>
      <c r="D15" s="127"/>
      <c r="E15" s="127"/>
      <c r="F15" s="127"/>
      <c r="G15" s="127"/>
    </row>
    <row r="16" spans="2:8" hidden="1" x14ac:dyDescent="0.2">
      <c r="B16" s="127"/>
      <c r="C16" s="127"/>
      <c r="D16" s="127"/>
      <c r="E16" s="127"/>
      <c r="F16" s="127"/>
      <c r="G16" s="127"/>
    </row>
    <row r="17" spans="2:8" hidden="1" x14ac:dyDescent="0.2"/>
    <row r="18" spans="2:8" ht="15" x14ac:dyDescent="0.25">
      <c r="B18" s="15" t="s">
        <v>8</v>
      </c>
    </row>
    <row r="19" spans="2:8" ht="15.75" x14ac:dyDescent="0.25">
      <c r="B19" s="64" t="s">
        <v>63</v>
      </c>
      <c r="C19" s="11">
        <f>+'Indicatie netto kosten'!D21</f>
        <v>32500</v>
      </c>
      <c r="D19" s="12" t="s">
        <v>18</v>
      </c>
      <c r="E19" s="13" t="s">
        <v>64</v>
      </c>
      <c r="F19" s="9"/>
      <c r="G19" s="9"/>
    </row>
    <row r="20" spans="2:8" ht="15.75" x14ac:dyDescent="0.25">
      <c r="B20" s="82" t="s">
        <v>53</v>
      </c>
      <c r="C20" s="11"/>
      <c r="D20" s="12" t="s">
        <v>18</v>
      </c>
      <c r="E20" s="13" t="s">
        <v>54</v>
      </c>
      <c r="F20" s="9"/>
      <c r="G20" s="9"/>
    </row>
    <row r="21" spans="2:8" x14ac:dyDescent="0.2"/>
    <row r="22" spans="2:8" ht="15" x14ac:dyDescent="0.25">
      <c r="B22" s="15"/>
      <c r="D22" s="27" t="s">
        <v>19</v>
      </c>
    </row>
    <row r="23" spans="2:8" x14ac:dyDescent="0.2">
      <c r="D23" s="28" t="s">
        <v>3</v>
      </c>
      <c r="E23" s="28" t="s">
        <v>4</v>
      </c>
      <c r="F23" s="28" t="s">
        <v>5</v>
      </c>
      <c r="G23" s="28" t="s">
        <v>6</v>
      </c>
    </row>
    <row r="24" spans="2:8" ht="15" x14ac:dyDescent="0.25">
      <c r="B24" s="14" t="s">
        <v>16</v>
      </c>
      <c r="C24" s="29" t="s">
        <v>15</v>
      </c>
      <c r="D24" s="106" t="str">
        <f>+'Indicatie netto kosten'!B26</f>
        <v>KDV 0-4</v>
      </c>
      <c r="E24" s="106">
        <f>+'Indicatie netto kosten'!B27</f>
        <v>0</v>
      </c>
      <c r="F24" s="106">
        <f>+'Indicatie netto kosten'!B28</f>
        <v>0</v>
      </c>
      <c r="G24" s="106">
        <f>+'Indicatie netto kosten'!B29</f>
        <v>0</v>
      </c>
    </row>
    <row r="25" spans="2:8" ht="15" x14ac:dyDescent="0.25">
      <c r="B25" s="64" t="s">
        <v>65</v>
      </c>
      <c r="C25" s="29" t="s">
        <v>17</v>
      </c>
      <c r="D25" s="107">
        <f>+'Indicatie netto kosten'!D26</f>
        <v>100</v>
      </c>
      <c r="E25" s="107">
        <f>+'Indicatie netto kosten'!D27</f>
        <v>0</v>
      </c>
      <c r="F25" s="107">
        <f>+'Indicatie netto kosten'!D28</f>
        <v>0</v>
      </c>
      <c r="G25" s="107">
        <f>+'Indicatie netto kosten'!D29</f>
        <v>0</v>
      </c>
    </row>
    <row r="26" spans="2:8" ht="15" x14ac:dyDescent="0.25">
      <c r="B26" s="82" t="s">
        <v>59</v>
      </c>
      <c r="C26" s="29" t="s">
        <v>17</v>
      </c>
      <c r="D26" s="107"/>
      <c r="E26" s="107"/>
      <c r="F26" s="107"/>
      <c r="G26" s="107"/>
    </row>
    <row r="27" spans="2:8" ht="15" x14ac:dyDescent="0.25">
      <c r="B27" s="64" t="s">
        <v>79</v>
      </c>
      <c r="C27" s="29" t="s">
        <v>17</v>
      </c>
      <c r="D27" s="108">
        <f>IF(D24="KDV 0-4",11.2,10.13)</f>
        <v>11.2</v>
      </c>
      <c r="E27" s="108">
        <f t="shared" ref="E27:G27" si="0">IF(E24="KDV 0-4",11.2,10.13)</f>
        <v>10.130000000000001</v>
      </c>
      <c r="F27" s="108">
        <f t="shared" si="0"/>
        <v>10.130000000000001</v>
      </c>
      <c r="G27" s="108">
        <f t="shared" si="0"/>
        <v>10.130000000000001</v>
      </c>
    </row>
    <row r="28" spans="2:8" ht="15" x14ac:dyDescent="0.25">
      <c r="B28" s="82" t="s">
        <v>80</v>
      </c>
      <c r="C28" s="29" t="s">
        <v>17</v>
      </c>
      <c r="D28" s="108"/>
      <c r="E28" s="108"/>
      <c r="F28" s="108"/>
      <c r="G28" s="108"/>
    </row>
    <row r="29" spans="2:8" x14ac:dyDescent="0.2">
      <c r="B29" s="18" t="s">
        <v>55</v>
      </c>
      <c r="C29" s="18"/>
      <c r="D29" s="23" t="e">
        <f>IF(D25&gt;0,D27/D28-1," ")</f>
        <v>#DIV/0!</v>
      </c>
      <c r="E29" s="23" t="str">
        <f t="shared" ref="E29:G29" si="1">IF(E25&gt;0,E27/E28-1," ")</f>
        <v xml:space="preserve"> </v>
      </c>
      <c r="F29" s="23" t="str">
        <f t="shared" si="1"/>
        <v xml:space="preserve"> </v>
      </c>
      <c r="G29" s="23" t="str">
        <f t="shared" si="1"/>
        <v xml:space="preserve"> </v>
      </c>
    </row>
    <row r="30" spans="2:8" x14ac:dyDescent="0.2"/>
    <row r="31" spans="2:8" x14ac:dyDescent="0.2">
      <c r="B31" s="116" t="s">
        <v>66</v>
      </c>
      <c r="C31" s="126"/>
      <c r="D31" s="120">
        <f>+D32</f>
        <v>10.71</v>
      </c>
      <c r="E31" s="120">
        <f t="shared" ref="E31:G31" si="2">+E32</f>
        <v>0</v>
      </c>
      <c r="F31" s="120">
        <f t="shared" si="2"/>
        <v>0</v>
      </c>
      <c r="G31" s="121">
        <f t="shared" si="2"/>
        <v>0</v>
      </c>
      <c r="H31" s="21"/>
    </row>
    <row r="32" spans="2:8" hidden="1" x14ac:dyDescent="0.2">
      <c r="B32" s="122" t="s">
        <v>36</v>
      </c>
      <c r="C32" s="18"/>
      <c r="D32" s="20">
        <f>+basisinfo2025!C13</f>
        <v>10.71</v>
      </c>
      <c r="E32" s="20">
        <f>+basisinfo2025!D13</f>
        <v>0</v>
      </c>
      <c r="F32" s="20">
        <f>+basisinfo2025!E13</f>
        <v>0</v>
      </c>
      <c r="G32" s="123">
        <f>+basisinfo2025!F13</f>
        <v>0</v>
      </c>
      <c r="H32" s="21"/>
    </row>
    <row r="33" spans="2:8" x14ac:dyDescent="0.2">
      <c r="B33" s="111" t="s">
        <v>51</v>
      </c>
      <c r="C33" s="96"/>
      <c r="D33" s="124" t="e">
        <f>+#REF!</f>
        <v>#REF!</v>
      </c>
      <c r="E33" s="124" t="e">
        <f>+#REF!</f>
        <v>#REF!</v>
      </c>
      <c r="F33" s="124" t="e">
        <f>+#REF!</f>
        <v>#REF!</v>
      </c>
      <c r="G33" s="125" t="e">
        <f>+#REF!</f>
        <v>#REF!</v>
      </c>
      <c r="H33" s="21"/>
    </row>
    <row r="34" spans="2:8" x14ac:dyDescent="0.2">
      <c r="B34" s="18"/>
      <c r="C34" s="18"/>
      <c r="D34" s="20"/>
      <c r="E34" s="20"/>
      <c r="F34" s="20"/>
      <c r="G34" s="20"/>
      <c r="H34" s="21"/>
    </row>
    <row r="35" spans="2:8" x14ac:dyDescent="0.2">
      <c r="B35" s="116" t="s">
        <v>67</v>
      </c>
      <c r="C35" s="126" t="s">
        <v>45</v>
      </c>
      <c r="D35" s="117">
        <f>IF(D25&gt;0,VLOOKUP($C$19,tabelkot2025!$A$2:$D$72,3)," ")</f>
        <v>96</v>
      </c>
      <c r="E35" s="117" t="str">
        <f>IF(E25&gt;0,VLOOKUP($C$19,tabelkot2025!$A$2:$D$72,4)," ")</f>
        <v xml:space="preserve"> </v>
      </c>
      <c r="F35" s="117" t="str">
        <f>IF(F25&gt;0,VLOOKUP($C$19,tabelkot2025!$A$2:$D$72,4)," ")</f>
        <v xml:space="preserve"> </v>
      </c>
      <c r="G35" s="117" t="str">
        <f>IF(G25&gt;0,VLOOKUP($C$19,tabelkot2025!$A$2:$D$72,4)," ")</f>
        <v xml:space="preserve"> </v>
      </c>
      <c r="H35" s="21"/>
    </row>
    <row r="36" spans="2:8" x14ac:dyDescent="0.2">
      <c r="B36" s="111" t="s">
        <v>52</v>
      </c>
      <c r="C36" s="96" t="s">
        <v>45</v>
      </c>
      <c r="D36" s="118" t="e">
        <f>+#REF!</f>
        <v>#REF!</v>
      </c>
      <c r="E36" s="118" t="e">
        <f>+#REF!</f>
        <v>#REF!</v>
      </c>
      <c r="F36" s="118" t="e">
        <f>+#REF!</f>
        <v>#REF!</v>
      </c>
      <c r="G36" s="119" t="e">
        <f>+#REF!</f>
        <v>#REF!</v>
      </c>
      <c r="H36" s="21"/>
    </row>
    <row r="37" spans="2:8" x14ac:dyDescent="0.2">
      <c r="B37" s="18"/>
      <c r="D37" s="44"/>
      <c r="E37" s="44"/>
      <c r="F37" s="44"/>
      <c r="G37" s="44"/>
    </row>
    <row r="38" spans="2:8" hidden="1" x14ac:dyDescent="0.2">
      <c r="B38" s="18" t="s">
        <v>11</v>
      </c>
      <c r="C38" s="18"/>
      <c r="D38" s="22">
        <f>IF(D25&gt;230,230,D25)</f>
        <v>100</v>
      </c>
      <c r="E38" s="22">
        <f>IF(E25&gt;230,230,E25)</f>
        <v>0</v>
      </c>
      <c r="F38" s="22">
        <f>IF(F25&gt;230,230,F25)</f>
        <v>0</v>
      </c>
      <c r="G38" s="22">
        <f>IF(G25&gt;230,230,G25)</f>
        <v>0</v>
      </c>
      <c r="H38" s="21"/>
    </row>
    <row r="39" spans="2:8" ht="16.149999999999999" customHeight="1" x14ac:dyDescent="0.25">
      <c r="B39" s="102"/>
      <c r="C39" s="104"/>
      <c r="D39" s="105" t="str">
        <f>IF(D25&gt;0,+D24," ")</f>
        <v>KDV 0-4</v>
      </c>
      <c r="E39" s="105" t="str">
        <f>IF(E25&gt;0,+E24," ")</f>
        <v xml:space="preserve"> </v>
      </c>
      <c r="F39" s="105" t="str">
        <f>IF(F25&gt;0,+F24," ")</f>
        <v xml:space="preserve"> </v>
      </c>
      <c r="G39" s="105" t="str">
        <f>IF(G25&gt;0,+G24," ")</f>
        <v xml:space="preserve"> </v>
      </c>
      <c r="H39" s="103" t="s">
        <v>7</v>
      </c>
    </row>
    <row r="40" spans="2:8" ht="16.149999999999999" customHeight="1" x14ac:dyDescent="0.2">
      <c r="B40" s="68" t="s">
        <v>68</v>
      </c>
      <c r="C40" s="65"/>
      <c r="D40" s="81">
        <f>IF(D25&gt;0,(D66+D67)/D61," ")</f>
        <v>4.3749999999999858E-2</v>
      </c>
      <c r="E40" s="81" t="str">
        <f>IF(E25&gt;0,(E66+E67)/E61," ")</f>
        <v xml:space="preserve"> </v>
      </c>
      <c r="F40" s="81" t="str">
        <f>IF(F25&gt;0,(F66+F67)/F61," ")</f>
        <v xml:space="preserve"> </v>
      </c>
      <c r="G40" s="81" t="str">
        <f>IF(G25&gt;0,(G66+G67)/G61," ")</f>
        <v xml:space="preserve"> </v>
      </c>
      <c r="H40" s="110">
        <f>IF(H68&gt;0,(H66+H67)/H61,0%)</f>
        <v>4.3749999999999858E-2</v>
      </c>
    </row>
    <row r="41" spans="2:8" ht="16.149999999999999" customHeight="1" x14ac:dyDescent="0.2">
      <c r="B41" s="111" t="s">
        <v>56</v>
      </c>
      <c r="C41" s="96"/>
      <c r="D41" s="112" t="e">
        <f>+#REF!</f>
        <v>#REF!</v>
      </c>
      <c r="E41" s="112" t="e">
        <f>+#REF!</f>
        <v>#REF!</v>
      </c>
      <c r="F41" s="112" t="e">
        <f>+#REF!</f>
        <v>#REF!</v>
      </c>
      <c r="G41" s="112" t="e">
        <f>+#REF!</f>
        <v>#REF!</v>
      </c>
      <c r="H41" s="113" t="e">
        <f>+#REF!</f>
        <v>#REF!</v>
      </c>
    </row>
    <row r="42" spans="2:8" ht="16.149999999999999" hidden="1" customHeight="1" x14ac:dyDescent="0.2">
      <c r="B42" s="18"/>
      <c r="C42" s="18"/>
      <c r="D42" s="23"/>
      <c r="E42" s="23"/>
      <c r="F42" s="23"/>
      <c r="G42" s="23"/>
      <c r="H42" s="23"/>
    </row>
    <row r="43" spans="2:8" ht="16.149999999999999" hidden="1" customHeight="1" x14ac:dyDescent="0.2">
      <c r="B43" s="18"/>
      <c r="C43" s="18"/>
      <c r="D43" s="23"/>
      <c r="E43" s="23"/>
      <c r="F43" s="23"/>
      <c r="G43" s="23"/>
      <c r="H43" s="23"/>
    </row>
    <row r="44" spans="2:8" hidden="1" x14ac:dyDescent="0.2">
      <c r="B44" s="18" t="s">
        <v>10</v>
      </c>
      <c r="C44" s="18"/>
      <c r="D44" s="22">
        <f>IF(D25&gt;230,D25-230,0)</f>
        <v>0</v>
      </c>
      <c r="E44" s="22">
        <f>IF(E25&gt;230,E25-230,0)</f>
        <v>0</v>
      </c>
      <c r="F44" s="22">
        <f>IF(F25&gt;230,F25-230,0)</f>
        <v>0</v>
      </c>
      <c r="G44" s="22">
        <f>IF(G25&gt;230,G25-230,0)</f>
        <v>0</v>
      </c>
      <c r="H44" s="21"/>
    </row>
    <row r="45" spans="2:8" ht="15" hidden="1" x14ac:dyDescent="0.25">
      <c r="B45" s="18"/>
      <c r="C45" s="18"/>
      <c r="D45" s="23"/>
      <c r="E45" s="23"/>
      <c r="F45" s="23"/>
      <c r="G45" s="23"/>
      <c r="H45" s="24" t="s">
        <v>7</v>
      </c>
    </row>
    <row r="46" spans="2:8" ht="15" hidden="1" x14ac:dyDescent="0.25">
      <c r="B46" s="19" t="s">
        <v>9</v>
      </c>
      <c r="C46" s="19"/>
      <c r="D46" s="25">
        <f>D25*D27</f>
        <v>1120</v>
      </c>
      <c r="E46" s="25">
        <f>E25*E27</f>
        <v>0</v>
      </c>
      <c r="F46" s="25">
        <f>F25*F27</f>
        <v>0</v>
      </c>
      <c r="G46" s="25">
        <f>G25*G27</f>
        <v>0</v>
      </c>
      <c r="H46" s="25">
        <f>SUM(D46:G46)</f>
        <v>1120</v>
      </c>
    </row>
    <row r="47" spans="2:8" hidden="1" x14ac:dyDescent="0.2">
      <c r="B47" s="18" t="s">
        <v>24</v>
      </c>
      <c r="C47" s="18"/>
      <c r="D47" s="21">
        <f>IF(D27&gt;D31,D25*(D27-D32),0)</f>
        <v>48.999999999999844</v>
      </c>
      <c r="E47" s="21">
        <f>IF(E27&gt;E31,E25*(E27-E32),0)</f>
        <v>0</v>
      </c>
      <c r="F47" s="21">
        <f>IF(F27&gt;F31,F25*(F27-F32),0)</f>
        <v>0</v>
      </c>
      <c r="G47" s="21">
        <f>IF(G27&gt;G31,G25*(G27-G32),0)</f>
        <v>0</v>
      </c>
      <c r="H47" s="21">
        <f>SUM(D47:G47)</f>
        <v>48.999999999999844</v>
      </c>
    </row>
    <row r="48" spans="2:8" ht="16.5" hidden="1" x14ac:dyDescent="0.35">
      <c r="B48" s="18" t="s">
        <v>25</v>
      </c>
      <c r="C48" s="18"/>
      <c r="D48" s="26">
        <f>D44*D32</f>
        <v>0</v>
      </c>
      <c r="E48" s="26">
        <f>E44*E32</f>
        <v>0</v>
      </c>
      <c r="F48" s="26">
        <f>F44*F32</f>
        <v>0</v>
      </c>
      <c r="G48" s="26">
        <f>G44*G32</f>
        <v>0</v>
      </c>
      <c r="H48" s="26">
        <f t="shared" ref="H48" si="3">SUM(D48:G48)</f>
        <v>0</v>
      </c>
    </row>
    <row r="49" spans="2:9" hidden="1" x14ac:dyDescent="0.2">
      <c r="B49" s="18"/>
      <c r="C49" s="18"/>
      <c r="D49" s="21"/>
      <c r="E49" s="21"/>
      <c r="F49" s="21"/>
      <c r="G49" s="21"/>
      <c r="H49" s="21"/>
      <c r="I49" s="17"/>
    </row>
    <row r="50" spans="2:9" ht="15" hidden="1" x14ac:dyDescent="0.25">
      <c r="B50" s="19" t="s">
        <v>26</v>
      </c>
      <c r="C50" s="19"/>
      <c r="D50" s="25">
        <f>D46-D47-D48</f>
        <v>1071.0000000000002</v>
      </c>
      <c r="E50" s="25">
        <f t="shared" ref="E50:H50" si="4">E46-E47-E48</f>
        <v>0</v>
      </c>
      <c r="F50" s="25">
        <f t="shared" si="4"/>
        <v>0</v>
      </c>
      <c r="G50" s="25">
        <f t="shared" si="4"/>
        <v>0</v>
      </c>
      <c r="H50" s="25">
        <f t="shared" si="4"/>
        <v>1071.0000000000002</v>
      </c>
    </row>
    <row r="51" spans="2:9" hidden="1" x14ac:dyDescent="0.2">
      <c r="B51" s="18" t="s">
        <v>27</v>
      </c>
      <c r="C51" s="18"/>
      <c r="D51" s="21">
        <f>IF(D25&gt;0,D50*D35%,0)</f>
        <v>1028.1600000000001</v>
      </c>
      <c r="E51" s="21">
        <f>IF(E25&gt;0,E50*E35%,0)</f>
        <v>0</v>
      </c>
      <c r="F51" s="21">
        <f>IF(F25&gt;0,F50*F35%,0)</f>
        <v>0</v>
      </c>
      <c r="G51" s="21">
        <f>IF(G25&gt;0,G50*G35%,0)</f>
        <v>0</v>
      </c>
      <c r="H51" s="21">
        <f>SUM(D51:G51)</f>
        <v>1028.1600000000001</v>
      </c>
    </row>
    <row r="52" spans="2:9" hidden="1" x14ac:dyDescent="0.2">
      <c r="B52" s="18"/>
      <c r="C52" s="18"/>
      <c r="D52" s="21"/>
      <c r="E52" s="21"/>
      <c r="F52" s="21"/>
      <c r="G52" s="21"/>
      <c r="H52" s="21"/>
    </row>
    <row r="53" spans="2:9" hidden="1" x14ac:dyDescent="0.2">
      <c r="B53" s="18"/>
      <c r="C53" s="18"/>
      <c r="D53" s="21"/>
      <c r="E53" s="21"/>
      <c r="F53" s="21"/>
      <c r="G53" s="21"/>
      <c r="H53" s="21"/>
    </row>
    <row r="54" spans="2:9" hidden="1" x14ac:dyDescent="0.2">
      <c r="B54" s="18"/>
      <c r="C54" s="18"/>
      <c r="D54" s="21"/>
      <c r="E54" s="21"/>
      <c r="F54" s="21"/>
      <c r="G54" s="21"/>
      <c r="H54" s="21"/>
    </row>
    <row r="55" spans="2:9" x14ac:dyDescent="0.2">
      <c r="B55" s="18"/>
      <c r="C55" s="18"/>
      <c r="D55" s="21"/>
      <c r="E55" s="21"/>
      <c r="F55" s="21"/>
      <c r="G55" s="21"/>
      <c r="H55" s="21"/>
    </row>
    <row r="56" spans="2:9" ht="13.9" customHeight="1" x14ac:dyDescent="0.2">
      <c r="B56" s="306" t="s">
        <v>76</v>
      </c>
      <c r="C56" s="307"/>
      <c r="D56" s="307"/>
      <c r="E56" s="307"/>
      <c r="F56" s="307"/>
      <c r="G56" s="307"/>
      <c r="H56" s="308"/>
    </row>
    <row r="57" spans="2:9" x14ac:dyDescent="0.2">
      <c r="B57" s="309"/>
      <c r="C57" s="310"/>
      <c r="D57" s="310"/>
      <c r="E57" s="310"/>
      <c r="F57" s="310"/>
      <c r="G57" s="310"/>
      <c r="H57" s="311"/>
    </row>
    <row r="58" spans="2:9" x14ac:dyDescent="0.2">
      <c r="B58" s="312"/>
      <c r="C58" s="313"/>
      <c r="D58" s="313"/>
      <c r="E58" s="313"/>
      <c r="F58" s="313"/>
      <c r="G58" s="313"/>
      <c r="H58" s="314"/>
    </row>
    <row r="59" spans="2:9" x14ac:dyDescent="0.2">
      <c r="B59" s="18"/>
      <c r="C59" s="18"/>
      <c r="D59" s="21"/>
      <c r="E59" s="21"/>
      <c r="F59" s="21"/>
      <c r="G59" s="21"/>
      <c r="H59" s="21"/>
    </row>
    <row r="60" spans="2:9" ht="15" x14ac:dyDescent="0.25">
      <c r="B60" s="277" t="s">
        <v>69</v>
      </c>
      <c r="C60" s="278"/>
      <c r="D60" s="66"/>
      <c r="E60" s="66"/>
      <c r="F60" s="66"/>
      <c r="G60" s="66"/>
      <c r="H60" s="67"/>
    </row>
    <row r="61" spans="2:9" x14ac:dyDescent="0.2">
      <c r="B61" s="68" t="s">
        <v>13</v>
      </c>
      <c r="C61" s="65"/>
      <c r="D61" s="69">
        <f>+D46</f>
        <v>1120</v>
      </c>
      <c r="E61" s="69">
        <f>+E46</f>
        <v>0</v>
      </c>
      <c r="F61" s="69">
        <f>+F46</f>
        <v>0</v>
      </c>
      <c r="G61" s="69">
        <f>+G46</f>
        <v>0</v>
      </c>
      <c r="H61" s="70">
        <f>SUM(D61:G61)</f>
        <v>1120</v>
      </c>
    </row>
    <row r="62" spans="2:9" ht="16.5" x14ac:dyDescent="0.35">
      <c r="B62" s="68" t="s">
        <v>12</v>
      </c>
      <c r="C62" s="65"/>
      <c r="D62" s="71">
        <f>+D51</f>
        <v>1028.1600000000001</v>
      </c>
      <c r="E62" s="71">
        <f>+E51</f>
        <v>0</v>
      </c>
      <c r="F62" s="71">
        <f>+F51</f>
        <v>0</v>
      </c>
      <c r="G62" s="71">
        <f>+G51</f>
        <v>0</v>
      </c>
      <c r="H62" s="72">
        <f>SUM(D62:G62)</f>
        <v>1028.1600000000001</v>
      </c>
    </row>
    <row r="63" spans="2:9" s="15" customFormat="1" ht="15" x14ac:dyDescent="0.25">
      <c r="B63" s="73" t="s">
        <v>40</v>
      </c>
      <c r="C63" s="74"/>
      <c r="D63" s="75">
        <f>D61-D62</f>
        <v>91.839999999999918</v>
      </c>
      <c r="E63" s="75">
        <f t="shared" ref="E63:H63" si="5">E61-E62</f>
        <v>0</v>
      </c>
      <c r="F63" s="75">
        <f t="shared" si="5"/>
        <v>0</v>
      </c>
      <c r="G63" s="75">
        <f t="shared" si="5"/>
        <v>0</v>
      </c>
      <c r="H63" s="76">
        <f t="shared" si="5"/>
        <v>91.839999999999918</v>
      </c>
    </row>
    <row r="64" spans="2:9" x14ac:dyDescent="0.2">
      <c r="B64" s="68"/>
      <c r="C64" s="65"/>
      <c r="D64" s="69"/>
      <c r="E64" s="69"/>
      <c r="F64" s="69"/>
      <c r="G64" s="69"/>
      <c r="H64" s="70"/>
    </row>
    <row r="65" spans="2:8" ht="15" x14ac:dyDescent="0.25">
      <c r="B65" s="73" t="s">
        <v>41</v>
      </c>
      <c r="C65" s="65"/>
      <c r="D65" s="69"/>
      <c r="E65" s="69"/>
      <c r="F65" s="69"/>
      <c r="G65" s="69"/>
      <c r="H65" s="70"/>
    </row>
    <row r="66" spans="2:8" x14ac:dyDescent="0.2">
      <c r="B66" s="68" t="s">
        <v>37</v>
      </c>
      <c r="C66" s="65"/>
      <c r="D66" s="69">
        <f t="shared" ref="D66:G67" si="6">+D47</f>
        <v>48.999999999999844</v>
      </c>
      <c r="E66" s="69">
        <f t="shared" si="6"/>
        <v>0</v>
      </c>
      <c r="F66" s="69">
        <f t="shared" si="6"/>
        <v>0</v>
      </c>
      <c r="G66" s="69">
        <f t="shared" si="6"/>
        <v>0</v>
      </c>
      <c r="H66" s="70">
        <f>SUM(D66:G66)</f>
        <v>48.999999999999844</v>
      </c>
    </row>
    <row r="67" spans="2:8" x14ac:dyDescent="0.2">
      <c r="B67" s="68" t="s">
        <v>38</v>
      </c>
      <c r="C67" s="65"/>
      <c r="D67" s="69">
        <f t="shared" si="6"/>
        <v>0</v>
      </c>
      <c r="E67" s="69">
        <f t="shared" si="6"/>
        <v>0</v>
      </c>
      <c r="F67" s="69">
        <f t="shared" si="6"/>
        <v>0</v>
      </c>
      <c r="G67" s="69">
        <f t="shared" si="6"/>
        <v>0</v>
      </c>
      <c r="H67" s="70">
        <f>SUM(D67:G67)</f>
        <v>0</v>
      </c>
    </row>
    <row r="68" spans="2:8" ht="16.5" x14ac:dyDescent="0.35">
      <c r="B68" s="68" t="s">
        <v>39</v>
      </c>
      <c r="C68" s="65"/>
      <c r="D68" s="71">
        <f>D50-D51</f>
        <v>42.840000000000146</v>
      </c>
      <c r="E68" s="71">
        <f>E50-E51</f>
        <v>0</v>
      </c>
      <c r="F68" s="71">
        <f>F50-F51</f>
        <v>0</v>
      </c>
      <c r="G68" s="71">
        <f>G50-G51</f>
        <v>0</v>
      </c>
      <c r="H68" s="72">
        <f>SUM(D68:G68)</f>
        <v>42.840000000000146</v>
      </c>
    </row>
    <row r="69" spans="2:8" ht="15" x14ac:dyDescent="0.25">
      <c r="B69" s="77" t="s">
        <v>70</v>
      </c>
      <c r="C69" s="78"/>
      <c r="D69" s="79">
        <f>SUM(D66:D68)</f>
        <v>91.839999999999989</v>
      </c>
      <c r="E69" s="79">
        <f>SUM(E66:E68)</f>
        <v>0</v>
      </c>
      <c r="F69" s="79">
        <f>SUM(F66:F68)</f>
        <v>0</v>
      </c>
      <c r="G69" s="79">
        <f>SUM(G66:G68)</f>
        <v>0</v>
      </c>
      <c r="H69" s="80">
        <f>SUM(H66:H68)</f>
        <v>91.839999999999989</v>
      </c>
    </row>
    <row r="70" spans="2:8" x14ac:dyDescent="0.2">
      <c r="B70" s="18"/>
      <c r="C70" s="18"/>
      <c r="D70" s="18"/>
      <c r="E70" s="18"/>
      <c r="F70" s="18"/>
      <c r="G70" s="18"/>
      <c r="H70" s="21"/>
    </row>
    <row r="71" spans="2:8" x14ac:dyDescent="0.2">
      <c r="B71" s="18"/>
      <c r="C71" s="18"/>
      <c r="D71" s="18"/>
      <c r="E71" s="18"/>
      <c r="F71" s="18"/>
      <c r="G71" s="18"/>
      <c r="H71" s="21"/>
    </row>
    <row r="72" spans="2:8" ht="15" x14ac:dyDescent="0.25">
      <c r="B72" s="277" t="s">
        <v>46</v>
      </c>
      <c r="C72" s="278"/>
      <c r="D72" s="84"/>
      <c r="E72" s="84"/>
      <c r="F72" s="84"/>
      <c r="G72" s="84"/>
      <c r="H72" s="85"/>
    </row>
    <row r="73" spans="2:8" x14ac:dyDescent="0.2">
      <c r="B73" s="86" t="s">
        <v>13</v>
      </c>
      <c r="C73" s="83"/>
      <c r="D73" s="87" t="e">
        <f>+#REF!</f>
        <v>#REF!</v>
      </c>
      <c r="E73" s="87" t="e">
        <f>+#REF!</f>
        <v>#REF!</v>
      </c>
      <c r="F73" s="87" t="e">
        <f>+#REF!</f>
        <v>#REF!</v>
      </c>
      <c r="G73" s="87" t="e">
        <f>+#REF!</f>
        <v>#REF!</v>
      </c>
      <c r="H73" s="88" t="e">
        <f>SUM(D73:G73)</f>
        <v>#REF!</v>
      </c>
    </row>
    <row r="74" spans="2:8" ht="16.5" x14ac:dyDescent="0.35">
      <c r="B74" s="86" t="s">
        <v>12</v>
      </c>
      <c r="C74" s="83"/>
      <c r="D74" s="89" t="e">
        <f>+#REF!</f>
        <v>#REF!</v>
      </c>
      <c r="E74" s="89" t="e">
        <f>+#REF!</f>
        <v>#REF!</v>
      </c>
      <c r="F74" s="89" t="e">
        <f>+#REF!</f>
        <v>#REF!</v>
      </c>
      <c r="G74" s="89" t="e">
        <f>+#REF!</f>
        <v>#REF!</v>
      </c>
      <c r="H74" s="90" t="e">
        <f>SUM(D74:G74)</f>
        <v>#REF!</v>
      </c>
    </row>
    <row r="75" spans="2:8" s="15" customFormat="1" ht="15" x14ac:dyDescent="0.25">
      <c r="B75" s="91" t="s">
        <v>40</v>
      </c>
      <c r="C75" s="92"/>
      <c r="D75" s="93" t="e">
        <f>D73-D74</f>
        <v>#REF!</v>
      </c>
      <c r="E75" s="93" t="e">
        <f t="shared" ref="E75:H75" si="7">E73-E74</f>
        <v>#REF!</v>
      </c>
      <c r="F75" s="93" t="e">
        <f t="shared" si="7"/>
        <v>#REF!</v>
      </c>
      <c r="G75" s="93" t="e">
        <f t="shared" si="7"/>
        <v>#REF!</v>
      </c>
      <c r="H75" s="94" t="e">
        <f t="shared" si="7"/>
        <v>#REF!</v>
      </c>
    </row>
    <row r="76" spans="2:8" x14ac:dyDescent="0.2">
      <c r="B76" s="86"/>
      <c r="C76" s="83"/>
      <c r="D76" s="87"/>
      <c r="E76" s="87"/>
      <c r="F76" s="87"/>
      <c r="G76" s="87"/>
      <c r="H76" s="88"/>
    </row>
    <row r="77" spans="2:8" ht="15" x14ac:dyDescent="0.25">
      <c r="B77" s="91" t="s">
        <v>41</v>
      </c>
      <c r="C77" s="83"/>
      <c r="D77" s="87"/>
      <c r="E77" s="87"/>
      <c r="F77" s="87"/>
      <c r="G77" s="87"/>
      <c r="H77" s="88"/>
    </row>
    <row r="78" spans="2:8" x14ac:dyDescent="0.2">
      <c r="B78" s="86" t="s">
        <v>37</v>
      </c>
      <c r="C78" s="83"/>
      <c r="D78" s="87" t="e">
        <f>+#REF!</f>
        <v>#REF!</v>
      </c>
      <c r="E78" s="87" t="e">
        <f>+#REF!</f>
        <v>#REF!</v>
      </c>
      <c r="F78" s="87" t="e">
        <f>+#REF!</f>
        <v>#REF!</v>
      </c>
      <c r="G78" s="87" t="e">
        <f>+#REF!</f>
        <v>#REF!</v>
      </c>
      <c r="H78" s="88" t="e">
        <f>SUM(D78:G78)</f>
        <v>#REF!</v>
      </c>
    </row>
    <row r="79" spans="2:8" x14ac:dyDescent="0.2">
      <c r="B79" s="86" t="s">
        <v>38</v>
      </c>
      <c r="C79" s="83"/>
      <c r="D79" s="87" t="e">
        <f>+#REF!</f>
        <v>#REF!</v>
      </c>
      <c r="E79" s="87" t="e">
        <f>+#REF!</f>
        <v>#REF!</v>
      </c>
      <c r="F79" s="87" t="e">
        <f>+#REF!</f>
        <v>#REF!</v>
      </c>
      <c r="G79" s="87" t="e">
        <f>+#REF!</f>
        <v>#REF!</v>
      </c>
      <c r="H79" s="88" t="e">
        <f>SUM(D79:G79)</f>
        <v>#REF!</v>
      </c>
    </row>
    <row r="80" spans="2:8" ht="16.5" x14ac:dyDescent="0.35">
      <c r="B80" s="86" t="s">
        <v>39</v>
      </c>
      <c r="C80" s="83"/>
      <c r="D80" s="89" t="e">
        <f>+#REF!</f>
        <v>#REF!</v>
      </c>
      <c r="E80" s="89" t="e">
        <f>+#REF!</f>
        <v>#REF!</v>
      </c>
      <c r="F80" s="89" t="e">
        <f>+#REF!</f>
        <v>#REF!</v>
      </c>
      <c r="G80" s="89" t="e">
        <f>+#REF!</f>
        <v>#REF!</v>
      </c>
      <c r="H80" s="90" t="e">
        <f>SUM(D80:G80)</f>
        <v>#REF!</v>
      </c>
    </row>
    <row r="81" spans="2:8" ht="15" x14ac:dyDescent="0.25">
      <c r="B81" s="95" t="s">
        <v>60</v>
      </c>
      <c r="C81" s="96"/>
      <c r="D81" s="97" t="e">
        <f>SUM(D78:D80)</f>
        <v>#REF!</v>
      </c>
      <c r="E81" s="97" t="e">
        <f t="shared" ref="E81:G81" si="8">SUM(E78:E80)</f>
        <v>#REF!</v>
      </c>
      <c r="F81" s="97" t="e">
        <f t="shared" si="8"/>
        <v>#REF!</v>
      </c>
      <c r="G81" s="97" t="e">
        <f t="shared" si="8"/>
        <v>#REF!</v>
      </c>
      <c r="H81" s="98" t="e">
        <f>SUM(H78:H80)</f>
        <v>#REF!</v>
      </c>
    </row>
    <row r="82" spans="2:8" ht="15" x14ac:dyDescent="0.25">
      <c r="B82" s="19"/>
      <c r="C82" s="18"/>
      <c r="D82" s="25"/>
      <c r="E82" s="25"/>
      <c r="F82" s="25"/>
      <c r="G82" s="25"/>
      <c r="H82" s="25"/>
    </row>
    <row r="83" spans="2:8" ht="13.9" customHeight="1" x14ac:dyDescent="0.2">
      <c r="B83" s="317" t="s">
        <v>77</v>
      </c>
      <c r="C83" s="318"/>
      <c r="D83" s="318"/>
      <c r="E83" s="318"/>
      <c r="F83" s="318"/>
      <c r="G83" s="318"/>
      <c r="H83" s="319"/>
    </row>
    <row r="84" spans="2:8" x14ac:dyDescent="0.2">
      <c r="B84" s="320"/>
      <c r="C84" s="321"/>
      <c r="D84" s="321"/>
      <c r="E84" s="321"/>
      <c r="F84" s="321"/>
      <c r="G84" s="321"/>
      <c r="H84" s="322"/>
    </row>
    <row r="85" spans="2:8" ht="15" x14ac:dyDescent="0.25">
      <c r="B85" s="323" t="e">
        <f>IF(D35&lt;&gt;D36,"LET OP : DE INKOMENS OVER DE 2 JAREN VERSCHILLEN DUSDANIG DAT ER EEN VERSCHIL IS IN DE TOESLAGEN"," ")</f>
        <v>#REF!</v>
      </c>
      <c r="C85" s="323"/>
      <c r="D85" s="323"/>
      <c r="E85" s="323"/>
      <c r="F85" s="323"/>
      <c r="G85" s="323"/>
      <c r="H85" s="323"/>
    </row>
    <row r="86" spans="2:8" ht="15" x14ac:dyDescent="0.25">
      <c r="B86" s="323" t="str">
        <f>IF(D25&lt;&gt;D26,"LET OP : ER IS GEEN REKENING GEHOUDEN MET EEN VERSCHIL IN AANTAL KINDEROPVANGUREN TUSSEN DE 2 JAREN !"," ")</f>
        <v>LET OP : ER IS GEEN REKENING GEHOUDEN MET EEN VERSCHIL IN AANTAL KINDEROPVANGUREN TUSSEN DE 2 JAREN !</v>
      </c>
      <c r="C86" s="323"/>
      <c r="D86" s="323"/>
      <c r="E86" s="323"/>
      <c r="F86" s="323"/>
      <c r="G86" s="323"/>
      <c r="H86" s="323"/>
    </row>
    <row r="87" spans="2:8" ht="15" x14ac:dyDescent="0.25">
      <c r="B87" s="54" t="s">
        <v>78</v>
      </c>
      <c r="C87" s="45"/>
      <c r="D87" s="46"/>
      <c r="E87" s="46"/>
      <c r="F87" s="46"/>
      <c r="G87" s="46"/>
      <c r="H87" s="47"/>
    </row>
    <row r="88" spans="2:8" x14ac:dyDescent="0.2">
      <c r="B88" s="48" t="s">
        <v>13</v>
      </c>
      <c r="C88" s="49"/>
      <c r="D88" s="55" t="e">
        <f>D73-D61</f>
        <v>#REF!</v>
      </c>
      <c r="E88" s="55" t="e">
        <f>E73-E61</f>
        <v>#REF!</v>
      </c>
      <c r="F88" s="55" t="e">
        <f>F73-F61</f>
        <v>#REF!</v>
      </c>
      <c r="G88" s="55" t="e">
        <f>G73-G61</f>
        <v>#REF!</v>
      </c>
      <c r="H88" s="56" t="e">
        <f>H73-H61</f>
        <v>#REF!</v>
      </c>
    </row>
    <row r="89" spans="2:8" ht="16.5" x14ac:dyDescent="0.35">
      <c r="B89" s="48" t="s">
        <v>12</v>
      </c>
      <c r="C89" s="49"/>
      <c r="D89" s="57" t="e">
        <f>D62-D74</f>
        <v>#REF!</v>
      </c>
      <c r="E89" s="57" t="e">
        <f>E62-E74</f>
        <v>#REF!</v>
      </c>
      <c r="F89" s="57" t="e">
        <f>F62-F74</f>
        <v>#REF!</v>
      </c>
      <c r="G89" s="57" t="e">
        <f>G62-G74</f>
        <v>#REF!</v>
      </c>
      <c r="H89" s="58" t="e">
        <f>H62-H74</f>
        <v>#REF!</v>
      </c>
    </row>
    <row r="90" spans="2:8" ht="15" x14ac:dyDescent="0.25">
      <c r="B90" s="50" t="s">
        <v>40</v>
      </c>
      <c r="C90" s="51"/>
      <c r="D90" s="59" t="e">
        <f>D75-D63</f>
        <v>#REF!</v>
      </c>
      <c r="E90" s="59" t="e">
        <f>E75-E63</f>
        <v>#REF!</v>
      </c>
      <c r="F90" s="59" t="e">
        <f>F75-F63</f>
        <v>#REF!</v>
      </c>
      <c r="G90" s="59" t="e">
        <f>G75-G63</f>
        <v>#REF!</v>
      </c>
      <c r="H90" s="60" t="e">
        <f>H75-H63</f>
        <v>#REF!</v>
      </c>
    </row>
    <row r="91" spans="2:8" x14ac:dyDescent="0.2">
      <c r="B91" s="48"/>
      <c r="C91" s="49"/>
      <c r="D91" s="55"/>
      <c r="E91" s="55"/>
      <c r="F91" s="55"/>
      <c r="G91" s="55"/>
      <c r="H91" s="56"/>
    </row>
    <row r="92" spans="2:8" ht="15" x14ac:dyDescent="0.25">
      <c r="B92" s="50" t="s">
        <v>41</v>
      </c>
      <c r="C92" s="49"/>
      <c r="D92" s="55"/>
      <c r="E92" s="55"/>
      <c r="F92" s="55"/>
      <c r="G92" s="55"/>
      <c r="H92" s="56"/>
    </row>
    <row r="93" spans="2:8" x14ac:dyDescent="0.2">
      <c r="B93" s="48" t="s">
        <v>37</v>
      </c>
      <c r="C93" s="49"/>
      <c r="D93" s="55" t="e">
        <f t="shared" ref="D93:G95" si="9">D78-D66</f>
        <v>#REF!</v>
      </c>
      <c r="E93" s="55" t="e">
        <f t="shared" si="9"/>
        <v>#REF!</v>
      </c>
      <c r="F93" s="55" t="e">
        <f t="shared" si="9"/>
        <v>#REF!</v>
      </c>
      <c r="G93" s="55" t="e">
        <f t="shared" si="9"/>
        <v>#REF!</v>
      </c>
      <c r="H93" s="56" t="e">
        <f>SUM(D93:G93)</f>
        <v>#REF!</v>
      </c>
    </row>
    <row r="94" spans="2:8" x14ac:dyDescent="0.2">
      <c r="B94" s="48" t="s">
        <v>38</v>
      </c>
      <c r="C94" s="49"/>
      <c r="D94" s="55" t="e">
        <f t="shared" si="9"/>
        <v>#REF!</v>
      </c>
      <c r="E94" s="55" t="e">
        <f t="shared" si="9"/>
        <v>#REF!</v>
      </c>
      <c r="F94" s="55" t="e">
        <f t="shared" si="9"/>
        <v>#REF!</v>
      </c>
      <c r="G94" s="55" t="e">
        <f t="shared" si="9"/>
        <v>#REF!</v>
      </c>
      <c r="H94" s="56" t="e">
        <f>SUM(D94:G94)</f>
        <v>#REF!</v>
      </c>
    </row>
    <row r="95" spans="2:8" ht="16.5" x14ac:dyDescent="0.35">
      <c r="B95" s="48" t="s">
        <v>39</v>
      </c>
      <c r="C95" s="49"/>
      <c r="D95" s="57" t="e">
        <f t="shared" si="9"/>
        <v>#REF!</v>
      </c>
      <c r="E95" s="57" t="e">
        <f t="shared" si="9"/>
        <v>#REF!</v>
      </c>
      <c r="F95" s="57" t="e">
        <f t="shared" si="9"/>
        <v>#REF!</v>
      </c>
      <c r="G95" s="57" t="e">
        <f t="shared" si="9"/>
        <v>#REF!</v>
      </c>
      <c r="H95" s="58" t="e">
        <f>SUM(D95:G95)</f>
        <v>#REF!</v>
      </c>
    </row>
    <row r="96" spans="2:8" ht="15" x14ac:dyDescent="0.25">
      <c r="B96" s="52" t="s">
        <v>40</v>
      </c>
      <c r="C96" s="53"/>
      <c r="D96" s="61" t="e">
        <f>SUM(D93:D95)</f>
        <v>#REF!</v>
      </c>
      <c r="E96" s="61" t="e">
        <f t="shared" ref="E96:G96" si="10">SUM(E93:E95)</f>
        <v>#REF!</v>
      </c>
      <c r="F96" s="61" t="e">
        <f t="shared" si="10"/>
        <v>#REF!</v>
      </c>
      <c r="G96" s="61" t="e">
        <f t="shared" si="10"/>
        <v>#REF!</v>
      </c>
      <c r="H96" s="62" t="e">
        <f>SUM(H93:H95)</f>
        <v>#REF!</v>
      </c>
    </row>
    <row r="97" spans="2:8" x14ac:dyDescent="0.2">
      <c r="B97" s="18"/>
      <c r="C97" s="18"/>
      <c r="D97" s="18"/>
      <c r="E97" s="18"/>
      <c r="F97" s="18"/>
      <c r="G97" s="18"/>
      <c r="H97" s="21"/>
    </row>
    <row r="98" spans="2:8" x14ac:dyDescent="0.2">
      <c r="B98" s="18"/>
      <c r="C98" s="18"/>
      <c r="D98" s="18"/>
      <c r="E98" s="18"/>
      <c r="F98" s="18"/>
      <c r="G98" s="18"/>
      <c r="H98" s="21"/>
    </row>
    <row r="99" spans="2:8" ht="13.9" customHeight="1" x14ac:dyDescent="0.2">
      <c r="B99" s="317" t="s">
        <v>49</v>
      </c>
      <c r="C99" s="318"/>
      <c r="D99" s="318"/>
      <c r="E99" s="318"/>
      <c r="F99" s="318"/>
      <c r="G99" s="318"/>
      <c r="H99" s="319"/>
    </row>
    <row r="100" spans="2:8" x14ac:dyDescent="0.2">
      <c r="B100" s="320"/>
      <c r="C100" s="321"/>
      <c r="D100" s="321"/>
      <c r="E100" s="321"/>
      <c r="F100" s="321"/>
      <c r="G100" s="321"/>
      <c r="H100" s="322"/>
    </row>
    <row r="101" spans="2:8" x14ac:dyDescent="0.2">
      <c r="B101" s="18"/>
      <c r="C101" s="18"/>
      <c r="D101" s="18"/>
      <c r="E101" s="18"/>
      <c r="F101" s="18"/>
      <c r="G101" s="18"/>
      <c r="H101" s="21"/>
    </row>
    <row r="102" spans="2:8" x14ac:dyDescent="0.2">
      <c r="B102" s="65" t="s">
        <v>71</v>
      </c>
      <c r="C102" s="65"/>
      <c r="D102" s="81">
        <f>IF(D$69&lt;&gt;0,D69/D$46,0)</f>
        <v>8.199999999999999E-2</v>
      </c>
      <c r="E102" s="81">
        <f>IF(E$69&lt;&gt;0,E69/E$46,0)</f>
        <v>0</v>
      </c>
      <c r="F102" s="81">
        <f>IF(F$25&gt;0,F69/F$46,0)</f>
        <v>0</v>
      </c>
      <c r="G102" s="81">
        <f>IF(G$69&lt;&gt;0,G69/G$46,0)</f>
        <v>0</v>
      </c>
      <c r="H102" s="81">
        <f>IF(H$69&lt;&gt;0,H69/H$46,0)</f>
        <v>8.199999999999999E-2</v>
      </c>
    </row>
    <row r="103" spans="2:8" x14ac:dyDescent="0.2">
      <c r="B103" s="65" t="s">
        <v>72</v>
      </c>
      <c r="C103" s="65"/>
      <c r="D103" s="81">
        <f>IF(D$69&lt;&gt;0,1-D102,0)</f>
        <v>0.91800000000000004</v>
      </c>
      <c r="E103" s="81">
        <f t="shared" ref="E103:H103" si="11">IF(E$69&lt;&gt;0,1-E102,0)</f>
        <v>0</v>
      </c>
      <c r="F103" s="81">
        <f t="shared" si="11"/>
        <v>0</v>
      </c>
      <c r="G103" s="81">
        <f t="shared" si="11"/>
        <v>0</v>
      </c>
      <c r="H103" s="81">
        <f t="shared" si="11"/>
        <v>0.91800000000000004</v>
      </c>
    </row>
    <row r="104" spans="2:8" x14ac:dyDescent="0.2">
      <c r="B104" s="18"/>
      <c r="C104" s="18"/>
      <c r="D104" s="23"/>
      <c r="E104" s="23"/>
      <c r="F104" s="23"/>
      <c r="G104" s="23"/>
      <c r="H104" s="23"/>
    </row>
    <row r="105" spans="2:8" x14ac:dyDescent="0.2">
      <c r="B105" s="83" t="s">
        <v>57</v>
      </c>
      <c r="C105" s="83"/>
      <c r="D105" s="99" t="e">
        <f>+#REF!</f>
        <v>#REF!</v>
      </c>
      <c r="E105" s="99" t="e">
        <f>+#REF!</f>
        <v>#REF!</v>
      </c>
      <c r="F105" s="99" t="e">
        <f>+#REF!</f>
        <v>#REF!</v>
      </c>
      <c r="G105" s="99" t="e">
        <f>+#REF!</f>
        <v>#REF!</v>
      </c>
      <c r="H105" s="99" t="e">
        <f>+#REF!</f>
        <v>#REF!</v>
      </c>
    </row>
    <row r="106" spans="2:8" x14ac:dyDescent="0.2">
      <c r="B106" s="83" t="s">
        <v>58</v>
      </c>
      <c r="C106" s="83"/>
      <c r="D106" s="99" t="e">
        <f>IF(D$69&lt;&gt;0,1-D105,0)</f>
        <v>#REF!</v>
      </c>
      <c r="E106" s="99">
        <f t="shared" ref="E106:H106" si="12">IF(E$69&lt;&gt;0,1-E105,0)</f>
        <v>0</v>
      </c>
      <c r="F106" s="99">
        <f t="shared" si="12"/>
        <v>0</v>
      </c>
      <c r="G106" s="99">
        <f t="shared" si="12"/>
        <v>0</v>
      </c>
      <c r="H106" s="99" t="e">
        <f t="shared" si="12"/>
        <v>#REF!</v>
      </c>
    </row>
    <row r="107" spans="2:8" x14ac:dyDescent="0.2">
      <c r="B107" s="18"/>
      <c r="C107" s="18"/>
      <c r="D107" s="23"/>
      <c r="E107" s="23"/>
      <c r="F107" s="23"/>
      <c r="G107" s="23"/>
      <c r="H107" s="23"/>
    </row>
    <row r="108" spans="2:8" hidden="1" x14ac:dyDescent="0.2">
      <c r="B108" s="100" t="s">
        <v>73</v>
      </c>
      <c r="C108" s="65"/>
      <c r="D108" s="81">
        <f t="shared" ref="D108:H109" si="13">+D40</f>
        <v>4.3749999999999858E-2</v>
      </c>
      <c r="E108" s="81" t="str">
        <f t="shared" si="13"/>
        <v xml:space="preserve"> </v>
      </c>
      <c r="F108" s="81" t="str">
        <f t="shared" si="13"/>
        <v xml:space="preserve"> </v>
      </c>
      <c r="G108" s="81" t="str">
        <f t="shared" si="13"/>
        <v xml:space="preserve"> </v>
      </c>
      <c r="H108" s="81">
        <f t="shared" si="13"/>
        <v>4.3749999999999858E-2</v>
      </c>
    </row>
    <row r="109" spans="2:8" hidden="1" x14ac:dyDescent="0.2">
      <c r="B109" s="101" t="s">
        <v>74</v>
      </c>
      <c r="C109" s="83"/>
      <c r="D109" s="99" t="e">
        <f t="shared" si="13"/>
        <v>#REF!</v>
      </c>
      <c r="E109" s="99" t="e">
        <f t="shared" si="13"/>
        <v>#REF!</v>
      </c>
      <c r="F109" s="99" t="e">
        <f t="shared" si="13"/>
        <v>#REF!</v>
      </c>
      <c r="G109" s="99" t="e">
        <f t="shared" si="13"/>
        <v>#REF!</v>
      </c>
      <c r="H109" s="99" t="e">
        <f t="shared" si="13"/>
        <v>#REF!</v>
      </c>
    </row>
    <row r="110" spans="2:8" ht="15.6" hidden="1" customHeight="1" x14ac:dyDescent="0.25">
      <c r="B110" s="324" t="str">
        <f>IF(H108&gt;25%,"Een gedeelte van de maandelijkse kosten is dus het gevolg van het uurtarief van de kinderopvangorganisatie dat hoger is dan de maximale uurtariefvergoeding. Heb je wel eens een vergelijk gemaakt met de tarieven van een andere organisatie?"," ")</f>
        <v xml:space="preserve"> </v>
      </c>
      <c r="C110" s="324"/>
      <c r="D110" s="324"/>
      <c r="E110" s="324"/>
      <c r="F110" s="324"/>
      <c r="G110" s="324"/>
      <c r="H110" s="324"/>
    </row>
    <row r="111" spans="2:8" ht="15.6" customHeight="1" x14ac:dyDescent="0.2">
      <c r="B111" s="325" t="s">
        <v>50</v>
      </c>
      <c r="C111" s="326"/>
      <c r="D111" s="326"/>
      <c r="E111" s="326"/>
      <c r="F111" s="326"/>
      <c r="G111" s="326"/>
      <c r="H111" s="327"/>
    </row>
    <row r="112" spans="2:8" ht="13.9" customHeight="1" x14ac:dyDescent="0.2">
      <c r="B112" s="328"/>
      <c r="C112" s="324"/>
      <c r="D112" s="324"/>
      <c r="E112" s="324"/>
      <c r="F112" s="324"/>
      <c r="G112" s="324"/>
      <c r="H112" s="329"/>
    </row>
    <row r="113" spans="2:8" x14ac:dyDescent="0.2">
      <c r="B113" s="9"/>
      <c r="C113" s="9"/>
      <c r="D113" s="9"/>
      <c r="E113" s="9"/>
      <c r="F113" s="9"/>
      <c r="G113" s="9"/>
      <c r="H113" s="10"/>
    </row>
    <row r="114" spans="2:8" x14ac:dyDescent="0.2">
      <c r="B114" s="30" t="s">
        <v>20</v>
      </c>
      <c r="C114" s="31"/>
      <c r="D114" s="31"/>
      <c r="E114" s="32" t="s">
        <v>33</v>
      </c>
      <c r="F114" s="31"/>
      <c r="G114" s="31"/>
      <c r="H114" s="33"/>
    </row>
    <row r="115" spans="2:8" x14ac:dyDescent="0.2">
      <c r="B115" s="34" t="s">
        <v>21</v>
      </c>
      <c r="C115" s="43"/>
      <c r="D115" s="43"/>
      <c r="E115" s="35" t="s">
        <v>34</v>
      </c>
      <c r="F115" s="43"/>
      <c r="G115" s="43"/>
      <c r="H115" s="36"/>
    </row>
    <row r="116" spans="2:8" x14ac:dyDescent="0.2">
      <c r="B116" s="34" t="s">
        <v>28</v>
      </c>
      <c r="C116" s="43"/>
      <c r="D116" s="43"/>
      <c r="E116" s="37" t="s">
        <v>35</v>
      </c>
      <c r="F116" s="43"/>
      <c r="G116" s="43"/>
      <c r="H116" s="38"/>
    </row>
    <row r="117" spans="2:8" x14ac:dyDescent="0.2">
      <c r="B117" s="39" t="s">
        <v>31</v>
      </c>
      <c r="C117" s="40"/>
      <c r="D117" s="40"/>
      <c r="E117" s="41" t="s">
        <v>32</v>
      </c>
      <c r="F117" s="40"/>
      <c r="G117" s="40"/>
      <c r="H117" s="42"/>
    </row>
    <row r="118" spans="2:8" hidden="1" x14ac:dyDescent="0.2">
      <c r="B118" s="39" t="s">
        <v>44</v>
      </c>
      <c r="C118" s="40"/>
      <c r="D118" s="40"/>
      <c r="E118" s="41" t="s">
        <v>43</v>
      </c>
      <c r="F118" s="40"/>
      <c r="G118" s="40"/>
      <c r="H118" s="42"/>
    </row>
    <row r="119" spans="2:8" ht="28.15" customHeight="1" x14ac:dyDescent="0.25">
      <c r="B119" s="315" t="s">
        <v>42</v>
      </c>
      <c r="C119" s="315"/>
      <c r="D119" s="315"/>
      <c r="E119" s="315"/>
      <c r="F119" s="315"/>
      <c r="G119" s="315"/>
      <c r="H119" s="315"/>
    </row>
    <row r="120" spans="2:8" x14ac:dyDescent="0.2">
      <c r="B120" s="316" t="s">
        <v>81</v>
      </c>
      <c r="C120" s="316"/>
      <c r="D120" s="316"/>
      <c r="E120" s="316"/>
      <c r="F120" s="316"/>
      <c r="G120" s="316"/>
      <c r="H120" s="316"/>
    </row>
  </sheetData>
  <mergeCells count="20">
    <mergeCell ref="B60:C60"/>
    <mergeCell ref="B10:H10"/>
    <mergeCell ref="C12:E12"/>
    <mergeCell ref="C13:E13"/>
    <mergeCell ref="C14:E14"/>
    <mergeCell ref="B56:H58"/>
    <mergeCell ref="B1:H1"/>
    <mergeCell ref="B2:H2"/>
    <mergeCell ref="B3:H3"/>
    <mergeCell ref="B4:H4"/>
    <mergeCell ref="B6:H9"/>
    <mergeCell ref="B110:H110"/>
    <mergeCell ref="B111:H112"/>
    <mergeCell ref="B119:H119"/>
    <mergeCell ref="B120:H120"/>
    <mergeCell ref="B72:C72"/>
    <mergeCell ref="B83:H84"/>
    <mergeCell ref="B85:H85"/>
    <mergeCell ref="B86:H86"/>
    <mergeCell ref="B99:H100"/>
  </mergeCells>
  <dataValidations count="3">
    <dataValidation type="whole" errorStyle="information" allowBlank="1" showInputMessage="1" showErrorMessage="1" errorTitle="Foutmelding" error="Een heel getal tussen 0 en 999.999" sqref="C19:C20">
      <formula1>0</formula1>
      <formula2>999999</formula2>
    </dataValidation>
    <dataValidation type="decimal" allowBlank="1" showInputMessage="1" showErrorMessage="1" errorTitle="Fout" error="Voer hier de kinderopvanguren in , een getal tussen 0 en 260" promptTitle="Voer aantal maanduren in" prompt="Voer hier het aantal kinderopvang uren per maand in welke door de organisatie in rekening wordt gebracht_x000a_" sqref="D25:G26">
      <formula1>0</formula1>
      <formula2>260</formula2>
    </dataValidation>
    <dataValidation type="decimal" allowBlank="1" showInputMessage="1" showErrorMessage="1" errorTitle="Fout" error="Voer een uurtarief in tussen 5,00 en 25,00" promptTitle="Voer het uurtarief" prompt="Voer het uurtarief in wat de _x000a_organisatie in rekening brengt_x000a_" sqref="D27:G28">
      <formula1>5</formula1>
      <formula2>25</formula2>
    </dataValidation>
  </dataValidations>
  <hyperlinks>
    <hyperlink ref="B3:H3" r:id="rId1" display="https://www.kinderopvang-wijzer.nl/"/>
    <hyperlink ref="E118" r:id="rId2"/>
    <hyperlink ref="E117" r:id="rId3"/>
    <hyperlink ref="E116" r:id="rId4"/>
    <hyperlink ref="E115" r:id="rId5"/>
    <hyperlink ref="B3" r:id="rId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Selecteer opvangvorm" prompt="Selecteer opvangvorm KDV (kinderdagverblijf), BSO (buitenschoolse opvang) of Gastouderopvang">
          <x14:formula1>
            <xm:f>basisinfo2025!$A$1:$A$3</xm:f>
          </x14:formula1>
          <xm:sqref>D24:G24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topLeftCell="A36" workbookViewId="0">
      <selection activeCell="A2" sqref="A2:E70"/>
    </sheetView>
  </sheetViews>
  <sheetFormatPr defaultRowHeight="15" x14ac:dyDescent="0.25"/>
  <cols>
    <col min="1" max="2" width="15.7109375" style="3" customWidth="1"/>
    <col min="3" max="4" width="15.7109375" style="2" customWidth="1"/>
  </cols>
  <sheetData>
    <row r="1" spans="1:7" x14ac:dyDescent="0.25">
      <c r="A1" s="3" t="s">
        <v>14</v>
      </c>
      <c r="B1" s="3" t="s">
        <v>0</v>
      </c>
      <c r="C1" s="2" t="s">
        <v>1</v>
      </c>
      <c r="D1" s="2" t="s">
        <v>2</v>
      </c>
    </row>
    <row r="2" spans="1:7" x14ac:dyDescent="0.25">
      <c r="A2" s="7">
        <v>0</v>
      </c>
      <c r="B2" s="8">
        <v>23211</v>
      </c>
      <c r="C2" s="2">
        <v>96</v>
      </c>
      <c r="D2" s="2">
        <v>96</v>
      </c>
    </row>
    <row r="3" spans="1:7" x14ac:dyDescent="0.25">
      <c r="A3" s="8">
        <v>23212</v>
      </c>
      <c r="B3" s="8">
        <v>24756</v>
      </c>
      <c r="C3" s="2">
        <v>96</v>
      </c>
      <c r="D3" s="2">
        <v>96</v>
      </c>
      <c r="G3" s="128"/>
    </row>
    <row r="4" spans="1:7" x14ac:dyDescent="0.25">
      <c r="A4" s="8">
        <v>24757</v>
      </c>
      <c r="B4" s="8">
        <v>26300</v>
      </c>
      <c r="C4" s="2">
        <v>96</v>
      </c>
      <c r="D4" s="2">
        <v>96</v>
      </c>
      <c r="G4">
        <f>(A4/A3-1)*100</f>
        <v>6.656039979321049</v>
      </c>
    </row>
    <row r="5" spans="1:7" x14ac:dyDescent="0.25">
      <c r="A5" s="8">
        <v>26301</v>
      </c>
      <c r="B5" s="8">
        <v>27848</v>
      </c>
      <c r="C5" s="2">
        <v>96</v>
      </c>
      <c r="D5" s="2">
        <v>96</v>
      </c>
      <c r="G5" s="128">
        <f t="shared" ref="G5:G68" si="0">(A5/A4-1)*100</f>
        <v>6.2366199458739002</v>
      </c>
    </row>
    <row r="6" spans="1:7" x14ac:dyDescent="0.25">
      <c r="A6" s="8">
        <v>27849</v>
      </c>
      <c r="B6" s="8">
        <v>29392</v>
      </c>
      <c r="C6" s="2">
        <v>96</v>
      </c>
      <c r="D6" s="2">
        <v>96</v>
      </c>
      <c r="G6" s="128">
        <f t="shared" si="0"/>
        <v>5.8857077677654912</v>
      </c>
    </row>
    <row r="7" spans="1:7" x14ac:dyDescent="0.25">
      <c r="A7" s="8">
        <v>29393</v>
      </c>
      <c r="B7" s="8">
        <v>30939</v>
      </c>
      <c r="C7" s="2">
        <v>96</v>
      </c>
      <c r="D7" s="2">
        <v>96</v>
      </c>
      <c r="G7" s="128">
        <f t="shared" si="0"/>
        <v>5.5441847104025221</v>
      </c>
    </row>
    <row r="8" spans="1:7" x14ac:dyDescent="0.25">
      <c r="A8" s="8">
        <v>30940</v>
      </c>
      <c r="B8" s="8">
        <v>32483</v>
      </c>
      <c r="C8" s="2">
        <v>96</v>
      </c>
      <c r="D8" s="2">
        <v>96</v>
      </c>
      <c r="G8" s="128">
        <f t="shared" si="0"/>
        <v>5.2631578947368363</v>
      </c>
    </row>
    <row r="9" spans="1:7" x14ac:dyDescent="0.25">
      <c r="A9" s="8">
        <v>32484</v>
      </c>
      <c r="B9" s="8">
        <v>34025</v>
      </c>
      <c r="C9" s="2">
        <v>96</v>
      </c>
      <c r="D9" s="2">
        <v>96</v>
      </c>
      <c r="G9" s="128">
        <f t="shared" si="0"/>
        <v>4.9903038138332301</v>
      </c>
    </row>
    <row r="10" spans="1:7" x14ac:dyDescent="0.25">
      <c r="A10" s="8">
        <v>34026</v>
      </c>
      <c r="B10" s="8">
        <v>35687</v>
      </c>
      <c r="C10" s="2">
        <v>96</v>
      </c>
      <c r="D10" s="2">
        <v>96</v>
      </c>
      <c r="G10" s="128">
        <f t="shared" si="0"/>
        <v>4.7469523457702278</v>
      </c>
    </row>
    <row r="11" spans="1:7" x14ac:dyDescent="0.25">
      <c r="A11" s="8">
        <v>35688</v>
      </c>
      <c r="B11" s="8">
        <v>37346</v>
      </c>
      <c r="C11" s="2">
        <v>96</v>
      </c>
      <c r="D11" s="2">
        <v>96</v>
      </c>
      <c r="G11" s="128">
        <f t="shared" si="0"/>
        <v>4.8845000881678757</v>
      </c>
    </row>
    <row r="12" spans="1:7" x14ac:dyDescent="0.25">
      <c r="A12" s="8">
        <v>37347</v>
      </c>
      <c r="B12" s="8">
        <v>39010</v>
      </c>
      <c r="C12" s="2">
        <v>96</v>
      </c>
      <c r="D12" s="2">
        <v>96</v>
      </c>
      <c r="G12" s="128">
        <f t="shared" si="0"/>
        <v>4.648621385339613</v>
      </c>
    </row>
    <row r="13" spans="1:7" x14ac:dyDescent="0.25">
      <c r="A13" s="8">
        <v>39011</v>
      </c>
      <c r="B13" s="8">
        <v>40670</v>
      </c>
      <c r="C13" s="2">
        <v>96</v>
      </c>
      <c r="D13" s="2">
        <v>96</v>
      </c>
      <c r="G13" s="128">
        <f t="shared" si="0"/>
        <v>4.4555118215653167</v>
      </c>
    </row>
    <row r="14" spans="1:7" x14ac:dyDescent="0.25">
      <c r="A14" s="8">
        <v>40671</v>
      </c>
      <c r="B14" s="8">
        <v>42336</v>
      </c>
      <c r="C14" s="2">
        <v>96</v>
      </c>
      <c r="D14" s="2">
        <v>96</v>
      </c>
      <c r="G14" s="128">
        <f t="shared" si="0"/>
        <v>4.2552100689549066</v>
      </c>
    </row>
    <row r="15" spans="1:7" x14ac:dyDescent="0.25">
      <c r="A15" s="8">
        <v>42337</v>
      </c>
      <c r="B15" s="8">
        <v>43998</v>
      </c>
      <c r="C15" s="2">
        <v>96</v>
      </c>
      <c r="D15" s="2">
        <v>96</v>
      </c>
      <c r="G15" s="128">
        <f t="shared" si="0"/>
        <v>4.0962848221091086</v>
      </c>
    </row>
    <row r="16" spans="1:7" x14ac:dyDescent="0.25">
      <c r="A16" s="8">
        <v>43999</v>
      </c>
      <c r="B16" s="8">
        <v>45700</v>
      </c>
      <c r="C16" s="2">
        <v>96</v>
      </c>
      <c r="D16" s="2">
        <v>96</v>
      </c>
      <c r="G16" s="128">
        <f t="shared" si="0"/>
        <v>3.9256442355386501</v>
      </c>
    </row>
    <row r="17" spans="1:7" x14ac:dyDescent="0.25">
      <c r="A17" s="8">
        <v>45701</v>
      </c>
      <c r="B17" s="8">
        <v>47403</v>
      </c>
      <c r="C17" s="2">
        <v>96</v>
      </c>
      <c r="D17" s="2">
        <v>96</v>
      </c>
      <c r="G17" s="128">
        <f t="shared" si="0"/>
        <v>3.8682697334030403</v>
      </c>
    </row>
    <row r="18" spans="1:7" x14ac:dyDescent="0.25">
      <c r="A18" s="8">
        <v>47404</v>
      </c>
      <c r="B18" s="8">
        <v>49108</v>
      </c>
      <c r="C18" s="2">
        <v>95.3</v>
      </c>
      <c r="D18" s="2">
        <v>95.6</v>
      </c>
      <c r="G18" s="128">
        <f t="shared" si="0"/>
        <v>3.7263954836874502</v>
      </c>
    </row>
    <row r="19" spans="1:7" x14ac:dyDescent="0.25">
      <c r="A19" s="8">
        <v>49109</v>
      </c>
      <c r="B19" s="8">
        <v>50811</v>
      </c>
      <c r="C19" s="2">
        <v>94.6</v>
      </c>
      <c r="D19" s="2">
        <v>95.199999999999989</v>
      </c>
      <c r="G19" s="128">
        <f t="shared" si="0"/>
        <v>3.5967428908952881</v>
      </c>
    </row>
    <row r="20" spans="1:7" x14ac:dyDescent="0.25">
      <c r="A20" s="8">
        <v>50812</v>
      </c>
      <c r="B20" s="8">
        <v>52519</v>
      </c>
      <c r="C20" s="2">
        <v>93.7</v>
      </c>
      <c r="D20" s="2">
        <v>94.8</v>
      </c>
      <c r="G20" s="128">
        <f t="shared" si="0"/>
        <v>3.467796126982825</v>
      </c>
    </row>
    <row r="21" spans="1:7" x14ac:dyDescent="0.25">
      <c r="A21" s="8">
        <v>52520</v>
      </c>
      <c r="B21" s="8">
        <v>54221</v>
      </c>
      <c r="C21" s="2">
        <v>93.100000000000009</v>
      </c>
      <c r="D21" s="2">
        <v>94.5</v>
      </c>
      <c r="G21" s="128">
        <f t="shared" si="0"/>
        <v>3.3614106903880892</v>
      </c>
    </row>
    <row r="22" spans="1:7" x14ac:dyDescent="0.25">
      <c r="A22" s="8">
        <v>54222</v>
      </c>
      <c r="B22" s="8">
        <v>55925</v>
      </c>
      <c r="C22" s="2">
        <v>92.300000000000011</v>
      </c>
      <c r="D22" s="2">
        <v>94.5</v>
      </c>
      <c r="G22" s="128">
        <f t="shared" si="0"/>
        <v>3.240670220868247</v>
      </c>
    </row>
    <row r="23" spans="1:7" x14ac:dyDescent="0.25">
      <c r="A23" s="8">
        <v>55926</v>
      </c>
      <c r="B23" s="8">
        <v>57629</v>
      </c>
      <c r="C23" s="2">
        <v>91.600000000000009</v>
      </c>
      <c r="D23" s="2">
        <v>94.5</v>
      </c>
      <c r="G23" s="128">
        <f t="shared" si="0"/>
        <v>3.142635830474716</v>
      </c>
    </row>
    <row r="24" spans="1:7" x14ac:dyDescent="0.25">
      <c r="A24" s="8">
        <v>57630</v>
      </c>
      <c r="B24" s="8">
        <v>59492</v>
      </c>
      <c r="C24" s="2">
        <v>90.7</v>
      </c>
      <c r="D24" s="2">
        <v>94.5</v>
      </c>
      <c r="G24" s="128">
        <f t="shared" si="0"/>
        <v>3.0468833816114094</v>
      </c>
    </row>
    <row r="25" spans="1:7" x14ac:dyDescent="0.25">
      <c r="A25" s="8">
        <v>59493</v>
      </c>
      <c r="B25" s="8">
        <v>63144</v>
      </c>
      <c r="C25" s="2">
        <v>89.2</v>
      </c>
      <c r="D25" s="2">
        <v>94.5</v>
      </c>
      <c r="G25" s="128">
        <f t="shared" si="0"/>
        <v>3.2326913066111462</v>
      </c>
    </row>
    <row r="26" spans="1:7" x14ac:dyDescent="0.25">
      <c r="A26" s="8">
        <v>63145</v>
      </c>
      <c r="B26" s="8">
        <v>66794</v>
      </c>
      <c r="C26" s="2">
        <v>88.4</v>
      </c>
      <c r="D26" s="2">
        <v>94.1</v>
      </c>
      <c r="G26" s="128">
        <f t="shared" si="0"/>
        <v>6.1385373069100524</v>
      </c>
    </row>
    <row r="27" spans="1:7" x14ac:dyDescent="0.25">
      <c r="A27" s="8">
        <v>66795</v>
      </c>
      <c r="B27" s="8">
        <v>70446</v>
      </c>
      <c r="C27" s="2">
        <v>87.3</v>
      </c>
      <c r="D27" s="2">
        <v>93.5</v>
      </c>
      <c r="G27" s="128">
        <f t="shared" si="0"/>
        <v>5.7803468208092568</v>
      </c>
    </row>
    <row r="28" spans="1:7" x14ac:dyDescent="0.25">
      <c r="A28" s="8">
        <v>70447</v>
      </c>
      <c r="B28" s="8">
        <v>74100</v>
      </c>
      <c r="C28" s="2">
        <v>85</v>
      </c>
      <c r="D28" s="2">
        <v>93.100000000000009</v>
      </c>
      <c r="G28" s="128">
        <f t="shared" si="0"/>
        <v>5.4674751104124564</v>
      </c>
    </row>
    <row r="29" spans="1:7" x14ac:dyDescent="0.25">
      <c r="A29" s="8">
        <v>74101</v>
      </c>
      <c r="B29" s="8">
        <v>77750</v>
      </c>
      <c r="C29" s="2">
        <v>82.699999999999989</v>
      </c>
      <c r="D29" s="2">
        <v>92.800000000000011</v>
      </c>
      <c r="G29" s="128">
        <f t="shared" si="0"/>
        <v>5.1868780785555124</v>
      </c>
    </row>
    <row r="30" spans="1:7" x14ac:dyDescent="0.25">
      <c r="A30" s="8">
        <v>77751</v>
      </c>
      <c r="B30" s="8">
        <v>81404</v>
      </c>
      <c r="C30" s="2">
        <v>80.5</v>
      </c>
      <c r="D30" s="2">
        <v>92.100000000000009</v>
      </c>
      <c r="G30" s="128">
        <f t="shared" si="0"/>
        <v>4.9257095045950772</v>
      </c>
    </row>
    <row r="31" spans="1:7" x14ac:dyDescent="0.25">
      <c r="A31" s="8">
        <v>81405</v>
      </c>
      <c r="B31" s="8">
        <v>85055</v>
      </c>
      <c r="C31" s="2">
        <v>78</v>
      </c>
      <c r="D31" s="2">
        <v>91.600000000000009</v>
      </c>
      <c r="G31" s="128">
        <f t="shared" si="0"/>
        <v>4.699618011343909</v>
      </c>
    </row>
    <row r="32" spans="1:7" x14ac:dyDescent="0.25">
      <c r="A32" s="8">
        <v>85056</v>
      </c>
      <c r="B32" s="8">
        <v>88707</v>
      </c>
      <c r="C32" s="2">
        <v>75.7</v>
      </c>
      <c r="D32" s="2">
        <v>91.100000000000009</v>
      </c>
      <c r="G32" s="128">
        <f t="shared" si="0"/>
        <v>4.4849824949327433</v>
      </c>
    </row>
    <row r="33" spans="1:7" x14ac:dyDescent="0.25">
      <c r="A33" s="8">
        <v>88708</v>
      </c>
      <c r="B33" s="8">
        <v>92360</v>
      </c>
      <c r="C33" s="2">
        <v>73.5</v>
      </c>
      <c r="D33" s="2">
        <v>90.4</v>
      </c>
      <c r="G33" s="128">
        <f t="shared" si="0"/>
        <v>4.2936418359668993</v>
      </c>
    </row>
    <row r="34" spans="1:7" x14ac:dyDescent="0.25">
      <c r="A34" s="8">
        <v>92361</v>
      </c>
      <c r="B34" s="8">
        <v>96010</v>
      </c>
      <c r="C34" s="2">
        <v>71.099999999999994</v>
      </c>
      <c r="D34" s="2">
        <v>89.8</v>
      </c>
      <c r="G34" s="128">
        <f t="shared" si="0"/>
        <v>4.1180051404608342</v>
      </c>
    </row>
    <row r="35" spans="1:7" x14ac:dyDescent="0.25">
      <c r="A35" s="8">
        <v>96011</v>
      </c>
      <c r="B35" s="8">
        <v>99667</v>
      </c>
      <c r="C35" s="2">
        <v>68.899999999999991</v>
      </c>
      <c r="D35" s="2">
        <v>89.4</v>
      </c>
      <c r="G35" s="128">
        <f t="shared" si="0"/>
        <v>3.9518844533948272</v>
      </c>
    </row>
    <row r="36" spans="1:7" x14ac:dyDescent="0.25">
      <c r="A36" s="8">
        <v>99668</v>
      </c>
      <c r="B36" s="8">
        <v>103318</v>
      </c>
      <c r="C36" s="2">
        <v>66.400000000000006</v>
      </c>
      <c r="D36" s="2">
        <v>89.1</v>
      </c>
      <c r="G36" s="128">
        <f t="shared" si="0"/>
        <v>3.8089385591234315</v>
      </c>
    </row>
    <row r="37" spans="1:7" x14ac:dyDescent="0.25">
      <c r="A37" s="8">
        <v>103319</v>
      </c>
      <c r="B37" s="8">
        <v>106968</v>
      </c>
      <c r="C37" s="2">
        <v>64.099999999999994</v>
      </c>
      <c r="D37" s="2">
        <v>88.4</v>
      </c>
      <c r="G37" s="128">
        <f t="shared" si="0"/>
        <v>3.6631616968334946</v>
      </c>
    </row>
    <row r="38" spans="1:7" x14ac:dyDescent="0.25">
      <c r="A38" s="8">
        <v>106969</v>
      </c>
      <c r="B38" s="8">
        <v>110621</v>
      </c>
      <c r="C38" s="2">
        <v>61.9</v>
      </c>
      <c r="D38" s="2">
        <v>88</v>
      </c>
      <c r="G38" s="128">
        <f t="shared" si="0"/>
        <v>3.5327480908642128</v>
      </c>
    </row>
    <row r="39" spans="1:7" x14ac:dyDescent="0.25">
      <c r="A39" s="8">
        <v>110622</v>
      </c>
      <c r="B39" s="8">
        <v>114344</v>
      </c>
      <c r="C39" s="2">
        <v>59.5</v>
      </c>
      <c r="D39" s="2">
        <v>87.5</v>
      </c>
      <c r="G39" s="128">
        <f t="shared" si="0"/>
        <v>3.4150080864549626</v>
      </c>
    </row>
    <row r="40" spans="1:7" x14ac:dyDescent="0.25">
      <c r="A40" s="8">
        <v>114345</v>
      </c>
      <c r="B40" s="8">
        <v>118086</v>
      </c>
      <c r="C40" s="2">
        <v>57.4</v>
      </c>
      <c r="D40" s="2">
        <v>86.8</v>
      </c>
      <c r="G40" s="128">
        <f t="shared" si="0"/>
        <v>3.3655149970168718</v>
      </c>
    </row>
    <row r="41" spans="1:7" x14ac:dyDescent="0.25">
      <c r="A41" s="8">
        <v>118087</v>
      </c>
      <c r="B41" s="8">
        <v>121825</v>
      </c>
      <c r="C41" s="2">
        <v>55.300000000000004</v>
      </c>
      <c r="D41" s="2">
        <v>86.3</v>
      </c>
      <c r="G41" s="128">
        <f t="shared" si="0"/>
        <v>3.2725523634614451</v>
      </c>
    </row>
    <row r="42" spans="1:7" x14ac:dyDescent="0.25">
      <c r="A42" s="8">
        <v>121826</v>
      </c>
      <c r="B42" s="8">
        <v>125565</v>
      </c>
      <c r="C42" s="2">
        <v>53.2</v>
      </c>
      <c r="D42" s="2">
        <v>85.9</v>
      </c>
      <c r="G42" s="128">
        <f t="shared" si="0"/>
        <v>3.1663095853057488</v>
      </c>
    </row>
    <row r="43" spans="1:7" x14ac:dyDescent="0.25">
      <c r="A43" s="8">
        <v>125566</v>
      </c>
      <c r="B43" s="8">
        <v>129303</v>
      </c>
      <c r="C43" s="2">
        <v>51</v>
      </c>
      <c r="D43" s="2">
        <v>85.6</v>
      </c>
      <c r="G43" s="128">
        <f t="shared" si="0"/>
        <v>3.0699522269466373</v>
      </c>
    </row>
    <row r="44" spans="1:7" x14ac:dyDescent="0.25">
      <c r="A44" s="8">
        <v>129304</v>
      </c>
      <c r="B44" s="8">
        <v>133045</v>
      </c>
      <c r="C44" s="2">
        <v>49.1</v>
      </c>
      <c r="D44" s="2">
        <v>84.899999999999991</v>
      </c>
      <c r="G44" s="128">
        <f t="shared" si="0"/>
        <v>2.9769205039580804</v>
      </c>
    </row>
    <row r="45" spans="1:7" x14ac:dyDescent="0.25">
      <c r="A45" s="8">
        <v>133046</v>
      </c>
      <c r="B45" s="8">
        <v>136786</v>
      </c>
      <c r="C45" s="2">
        <v>47.199999999999996</v>
      </c>
      <c r="D45" s="2">
        <v>84.3</v>
      </c>
      <c r="G45" s="128">
        <f t="shared" si="0"/>
        <v>2.8939553300748599</v>
      </c>
    </row>
    <row r="46" spans="1:7" x14ac:dyDescent="0.25">
      <c r="A46" s="8">
        <v>136787</v>
      </c>
      <c r="B46" s="8">
        <v>140528</v>
      </c>
      <c r="C46" s="2">
        <v>45.300000000000004</v>
      </c>
      <c r="D46" s="2">
        <v>83.899999999999991</v>
      </c>
      <c r="G46" s="128">
        <f t="shared" si="0"/>
        <v>2.8118094493633672</v>
      </c>
    </row>
    <row r="47" spans="1:7" x14ac:dyDescent="0.25">
      <c r="A47" s="8">
        <v>140529</v>
      </c>
      <c r="B47" s="8">
        <v>144264</v>
      </c>
      <c r="C47" s="2">
        <v>43.3</v>
      </c>
      <c r="D47" s="2">
        <v>83.3</v>
      </c>
      <c r="G47" s="128">
        <f t="shared" si="0"/>
        <v>2.7356400827563965</v>
      </c>
    </row>
    <row r="48" spans="1:7" x14ac:dyDescent="0.25">
      <c r="A48" s="8">
        <v>144265</v>
      </c>
      <c r="B48" s="8">
        <v>148003</v>
      </c>
      <c r="C48" s="2">
        <v>41.3</v>
      </c>
      <c r="D48" s="2">
        <v>82.899999999999991</v>
      </c>
      <c r="G48" s="128">
        <f t="shared" si="0"/>
        <v>2.6585259981925402</v>
      </c>
    </row>
    <row r="49" spans="1:7" x14ac:dyDescent="0.25">
      <c r="A49" s="8">
        <v>148004</v>
      </c>
      <c r="B49" s="8">
        <v>151746</v>
      </c>
      <c r="C49" s="2">
        <v>39.300000000000004</v>
      </c>
      <c r="D49" s="2">
        <v>82.199999999999989</v>
      </c>
      <c r="G49" s="128">
        <f t="shared" si="0"/>
        <v>2.5917582227151348</v>
      </c>
    </row>
    <row r="50" spans="1:7" x14ac:dyDescent="0.25">
      <c r="A50" s="8">
        <v>151747</v>
      </c>
      <c r="B50" s="8">
        <v>155484</v>
      </c>
      <c r="C50" s="2">
        <v>37.299999999999997</v>
      </c>
      <c r="D50" s="2">
        <v>81.599999999999994</v>
      </c>
      <c r="G50" s="128">
        <f t="shared" si="0"/>
        <v>2.5289857030891039</v>
      </c>
    </row>
    <row r="51" spans="1:7" x14ac:dyDescent="0.25">
      <c r="A51" s="8">
        <v>155485</v>
      </c>
      <c r="B51" s="8">
        <v>159224</v>
      </c>
      <c r="C51" s="2">
        <v>35.299999999999997</v>
      </c>
      <c r="D51" s="2">
        <v>80.600000000000009</v>
      </c>
      <c r="G51" s="128">
        <f t="shared" si="0"/>
        <v>2.4633106420555162</v>
      </c>
    </row>
    <row r="52" spans="1:7" x14ac:dyDescent="0.25">
      <c r="A52" s="8">
        <v>159225</v>
      </c>
      <c r="B52" s="8">
        <v>162963</v>
      </c>
      <c r="C52" s="2">
        <v>33.300000000000004</v>
      </c>
      <c r="D52" s="2">
        <v>80.300000000000011</v>
      </c>
      <c r="G52" s="128">
        <f t="shared" si="0"/>
        <v>2.4053767244428759</v>
      </c>
    </row>
    <row r="53" spans="1:7" x14ac:dyDescent="0.25">
      <c r="A53" s="8">
        <v>162964</v>
      </c>
      <c r="B53" s="8">
        <v>166705</v>
      </c>
      <c r="C53" s="2">
        <v>33.300000000000004</v>
      </c>
      <c r="D53" s="2">
        <v>79.5</v>
      </c>
      <c r="G53" s="128">
        <f t="shared" si="0"/>
        <v>2.3482493327052989</v>
      </c>
    </row>
    <row r="54" spans="1:7" x14ac:dyDescent="0.25">
      <c r="A54" s="8">
        <v>166706</v>
      </c>
      <c r="B54" s="8">
        <v>170449</v>
      </c>
      <c r="C54" s="2">
        <v>33.300000000000004</v>
      </c>
      <c r="D54" s="2">
        <v>78.600000000000009</v>
      </c>
      <c r="G54" s="128">
        <f t="shared" si="0"/>
        <v>2.2962126604648914</v>
      </c>
    </row>
    <row r="55" spans="1:7" x14ac:dyDescent="0.25">
      <c r="A55" s="8">
        <v>170450</v>
      </c>
      <c r="B55" s="8">
        <v>174186</v>
      </c>
      <c r="C55" s="2">
        <v>33.300000000000004</v>
      </c>
      <c r="D55" s="2">
        <v>78</v>
      </c>
      <c r="G55" s="128">
        <f t="shared" si="0"/>
        <v>2.2458699746859656</v>
      </c>
    </row>
    <row r="56" spans="1:7" x14ac:dyDescent="0.25">
      <c r="A56" s="8">
        <v>174187</v>
      </c>
      <c r="B56" s="8">
        <v>177926</v>
      </c>
      <c r="C56" s="2">
        <v>33.300000000000004</v>
      </c>
      <c r="D56" s="2">
        <v>77.100000000000009</v>
      </c>
      <c r="G56" s="128">
        <f t="shared" si="0"/>
        <v>2.1924317981812935</v>
      </c>
    </row>
    <row r="57" spans="1:7" x14ac:dyDescent="0.25">
      <c r="A57" s="8">
        <v>177927</v>
      </c>
      <c r="B57" s="8">
        <v>181663</v>
      </c>
      <c r="C57" s="2">
        <v>33.300000000000004</v>
      </c>
      <c r="D57" s="2">
        <v>76.599999999999994</v>
      </c>
      <c r="G57" s="128">
        <f t="shared" si="0"/>
        <v>2.147117752759975</v>
      </c>
    </row>
    <row r="58" spans="1:7" x14ac:dyDescent="0.25">
      <c r="A58" s="8">
        <v>181664</v>
      </c>
      <c r="B58" s="8">
        <v>185406</v>
      </c>
      <c r="C58" s="2">
        <v>33.300000000000004</v>
      </c>
      <c r="D58" s="2">
        <v>75.8</v>
      </c>
      <c r="G58" s="128">
        <f t="shared" si="0"/>
        <v>2.1002995610559294</v>
      </c>
    </row>
    <row r="59" spans="1:7" x14ac:dyDescent="0.25">
      <c r="A59" s="8">
        <v>185407</v>
      </c>
      <c r="B59" s="8">
        <v>189147</v>
      </c>
      <c r="C59" s="2">
        <v>33.300000000000004</v>
      </c>
      <c r="D59" s="2">
        <v>75.099999999999994</v>
      </c>
      <c r="G59" s="128">
        <f t="shared" si="0"/>
        <v>2.0603972168398821</v>
      </c>
    </row>
    <row r="60" spans="1:7" x14ac:dyDescent="0.25">
      <c r="A60" s="8">
        <v>189148</v>
      </c>
      <c r="B60" s="8">
        <v>192888</v>
      </c>
      <c r="C60" s="2">
        <v>33.300000000000004</v>
      </c>
      <c r="D60" s="2">
        <v>74.400000000000006</v>
      </c>
      <c r="G60" s="128">
        <f t="shared" si="0"/>
        <v>2.0177231711855592</v>
      </c>
    </row>
    <row r="61" spans="1:7" x14ac:dyDescent="0.25">
      <c r="A61" s="8">
        <v>192889</v>
      </c>
      <c r="B61" s="8">
        <v>196627</v>
      </c>
      <c r="C61" s="2">
        <v>33.300000000000004</v>
      </c>
      <c r="D61" s="2">
        <v>73.400000000000006</v>
      </c>
      <c r="G61" s="128">
        <f t="shared" si="0"/>
        <v>1.9778163131516147</v>
      </c>
    </row>
    <row r="62" spans="1:7" x14ac:dyDescent="0.25">
      <c r="A62" s="8">
        <v>196628</v>
      </c>
      <c r="B62" s="8">
        <v>200363</v>
      </c>
      <c r="C62" s="2">
        <v>33.300000000000004</v>
      </c>
      <c r="D62" s="2">
        <v>72.899999999999991</v>
      </c>
      <c r="G62" s="128">
        <f t="shared" si="0"/>
        <v>1.9384205423844891</v>
      </c>
    </row>
    <row r="63" spans="1:7" x14ac:dyDescent="0.25">
      <c r="A63" s="8">
        <v>200364</v>
      </c>
      <c r="B63" s="8">
        <v>204107</v>
      </c>
      <c r="C63" s="2">
        <v>33.300000000000004</v>
      </c>
      <c r="D63" s="2">
        <v>72.2</v>
      </c>
      <c r="G63" s="128">
        <f t="shared" si="0"/>
        <v>1.9000345830705756</v>
      </c>
    </row>
    <row r="64" spans="1:7" x14ac:dyDescent="0.25">
      <c r="A64" s="8">
        <v>204108</v>
      </c>
      <c r="B64" s="8">
        <v>207845</v>
      </c>
      <c r="C64" s="2">
        <v>33.300000000000004</v>
      </c>
      <c r="D64" s="2">
        <v>71.399999999999991</v>
      </c>
      <c r="G64" s="128">
        <f t="shared" si="0"/>
        <v>1.8685991495478227</v>
      </c>
    </row>
    <row r="65" spans="1:7" x14ac:dyDescent="0.25">
      <c r="A65" s="8">
        <v>207846</v>
      </c>
      <c r="B65" s="8">
        <v>211586</v>
      </c>
      <c r="C65" s="2">
        <v>33.300000000000004</v>
      </c>
      <c r="D65" s="2">
        <v>70.7</v>
      </c>
      <c r="G65" s="128">
        <f t="shared" si="0"/>
        <v>1.8313833852666273</v>
      </c>
    </row>
    <row r="66" spans="1:7" x14ac:dyDescent="0.25">
      <c r="A66" s="8">
        <v>211587</v>
      </c>
      <c r="B66" s="8">
        <v>215327</v>
      </c>
      <c r="C66" s="2">
        <v>33.300000000000004</v>
      </c>
      <c r="D66" s="2">
        <v>70.099999999999994</v>
      </c>
      <c r="G66" s="128">
        <f t="shared" si="0"/>
        <v>1.7998903033977109</v>
      </c>
    </row>
    <row r="67" spans="1:7" x14ac:dyDescent="0.25">
      <c r="A67" s="8">
        <v>215328</v>
      </c>
      <c r="B67" s="8">
        <v>219065</v>
      </c>
      <c r="C67" s="2">
        <v>33.300000000000004</v>
      </c>
      <c r="D67" s="2">
        <v>69.3</v>
      </c>
      <c r="G67" s="128">
        <f t="shared" si="0"/>
        <v>1.7680670362545836</v>
      </c>
    </row>
    <row r="68" spans="1:7" x14ac:dyDescent="0.25">
      <c r="A68" s="8">
        <v>219066</v>
      </c>
      <c r="B68" s="8">
        <v>222806</v>
      </c>
      <c r="C68" s="2">
        <v>33.300000000000004</v>
      </c>
      <c r="D68" s="2">
        <v>68.5</v>
      </c>
      <c r="G68" s="128">
        <f t="shared" si="0"/>
        <v>1.735956308515374</v>
      </c>
    </row>
    <row r="69" spans="1:7" x14ac:dyDescent="0.25">
      <c r="A69" s="8">
        <v>222807</v>
      </c>
      <c r="B69" s="8">
        <v>226545</v>
      </c>
      <c r="C69" s="2">
        <v>33.300000000000004</v>
      </c>
      <c r="D69" s="2">
        <v>68</v>
      </c>
      <c r="G69" s="128">
        <f t="shared" ref="G69:G70" si="1">(A69/A68-1)*100</f>
        <v>1.7077045274026981</v>
      </c>
    </row>
    <row r="70" spans="1:7" x14ac:dyDescent="0.25">
      <c r="A70" s="8">
        <v>226546</v>
      </c>
      <c r="B70" s="7">
        <v>999999</v>
      </c>
      <c r="C70" s="2">
        <v>33.300000000000004</v>
      </c>
      <c r="D70" s="2">
        <v>67.100000000000009</v>
      </c>
      <c r="G70" s="128">
        <f t="shared" si="1"/>
        <v>1.6781339904042403</v>
      </c>
    </row>
    <row r="71" spans="1:7" x14ac:dyDescent="0.25">
      <c r="A7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sqref="A1:XFD1048576"/>
    </sheetView>
  </sheetViews>
  <sheetFormatPr defaultRowHeight="15" x14ac:dyDescent="0.25"/>
  <cols>
    <col min="1" max="1" width="19.28515625" bestFit="1" customWidth="1"/>
  </cols>
  <sheetData>
    <row r="1" spans="1:6" x14ac:dyDescent="0.25">
      <c r="A1" t="s">
        <v>22</v>
      </c>
      <c r="D1" s="1">
        <v>10.71</v>
      </c>
      <c r="F1" s="2"/>
    </row>
    <row r="2" spans="1:6" x14ac:dyDescent="0.25">
      <c r="A2" t="s">
        <v>23</v>
      </c>
      <c r="D2" s="1">
        <v>9.52</v>
      </c>
      <c r="F2" s="2"/>
    </row>
    <row r="3" spans="1:6" x14ac:dyDescent="0.25">
      <c r="A3" t="s">
        <v>85</v>
      </c>
      <c r="D3" s="1"/>
      <c r="F3" s="2"/>
    </row>
    <row r="9" spans="1:6" ht="16.5" x14ac:dyDescent="0.3">
      <c r="C9" s="4" t="s">
        <v>3</v>
      </c>
      <c r="D9" s="4" t="s">
        <v>4</v>
      </c>
      <c r="E9" s="4" t="s">
        <v>5</v>
      </c>
      <c r="F9" s="4" t="s">
        <v>6</v>
      </c>
    </row>
    <row r="10" spans="1:6" x14ac:dyDescent="0.25">
      <c r="B10" t="s">
        <v>22</v>
      </c>
      <c r="C10" s="1">
        <f>IF(Berekening2025!D$24=basisinfo2025!$B10,+$D1,0)</f>
        <v>10.71</v>
      </c>
      <c r="D10" s="1">
        <f>IF(Berekening2025!E$24=basisinfo2025!$B10,+$D1,0)</f>
        <v>0</v>
      </c>
      <c r="E10" s="1">
        <f>IF(Berekening2025!F$24=basisinfo2025!$B10,+$D1,0)</f>
        <v>0</v>
      </c>
      <c r="F10" s="1">
        <f>IF(Berekening2025!G$24=basisinfo2025!$B10,+$D1,0)</f>
        <v>0</v>
      </c>
    </row>
    <row r="11" spans="1:6" x14ac:dyDescent="0.25">
      <c r="B11" t="s">
        <v>23</v>
      </c>
      <c r="C11" s="1">
        <f>IF(Berekening2025!D$24=basisinfo2025!$B11,+$D2,0)</f>
        <v>0</v>
      </c>
      <c r="D11" s="1">
        <f>IF(Berekening2025!E$24=basisinfo2025!$B11,+$D2,0)</f>
        <v>0</v>
      </c>
      <c r="E11" s="1">
        <f>IF(Berekening2025!F$24=basisinfo2025!$B11,+$D2,0)</f>
        <v>0</v>
      </c>
      <c r="F11" s="1">
        <f>IF(Berekening2025!G$24=basisinfo2025!$B11,+$D2,0)</f>
        <v>0</v>
      </c>
    </row>
    <row r="12" spans="1:6" x14ac:dyDescent="0.25">
      <c r="C12" s="1"/>
      <c r="D12" s="1"/>
      <c r="E12" s="1"/>
      <c r="F12" s="1"/>
    </row>
    <row r="13" spans="1:6" x14ac:dyDescent="0.25">
      <c r="A13" t="s">
        <v>29</v>
      </c>
      <c r="C13" s="5">
        <f>SUM(C10:C12)</f>
        <v>10.71</v>
      </c>
      <c r="D13" s="5">
        <f t="shared" ref="D13:F13" si="0">SUM(D10:D12)</f>
        <v>0</v>
      </c>
      <c r="E13" s="5">
        <f t="shared" si="0"/>
        <v>0</v>
      </c>
      <c r="F13" s="5">
        <f t="shared" si="0"/>
        <v>0</v>
      </c>
    </row>
    <row r="14" spans="1:6" x14ac:dyDescent="0.25">
      <c r="C14" s="6"/>
      <c r="D14" s="6"/>
      <c r="E14" s="6"/>
      <c r="F14"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workbookViewId="0">
      <selection activeCell="C20" sqref="C20"/>
    </sheetView>
  </sheetViews>
  <sheetFormatPr defaultColWidth="0" defaultRowHeight="14.25" zeroHeight="1" x14ac:dyDescent="0.2"/>
  <cols>
    <col min="1" max="1" width="8.85546875" style="132" customWidth="1"/>
    <col min="2" max="2" width="52.28515625" style="132" customWidth="1"/>
    <col min="3" max="3" width="15.28515625" style="132" customWidth="1"/>
    <col min="4" max="7" width="15.7109375" style="132" customWidth="1"/>
    <col min="8" max="8" width="12.7109375" style="16" customWidth="1"/>
    <col min="9" max="9" width="5.85546875" style="132" customWidth="1"/>
    <col min="10" max="16384" width="8.85546875" style="132" hidden="1"/>
  </cols>
  <sheetData>
    <row r="1" spans="2:8" ht="17.45" customHeight="1" x14ac:dyDescent="0.25">
      <c r="B1" s="279" t="s">
        <v>75</v>
      </c>
      <c r="C1" s="280"/>
      <c r="D1" s="280"/>
      <c r="E1" s="280"/>
      <c r="F1" s="280"/>
      <c r="G1" s="280"/>
      <c r="H1" s="281"/>
    </row>
    <row r="2" spans="2:8" ht="17.45" customHeight="1" x14ac:dyDescent="0.25">
      <c r="B2" s="282" t="s">
        <v>82</v>
      </c>
      <c r="C2" s="283"/>
      <c r="D2" s="283"/>
      <c r="E2" s="283"/>
      <c r="F2" s="283"/>
      <c r="G2" s="283"/>
      <c r="H2" s="284"/>
    </row>
    <row r="3" spans="2:8" ht="15" x14ac:dyDescent="0.25">
      <c r="B3" s="285" t="s">
        <v>34</v>
      </c>
      <c r="C3" s="286"/>
      <c r="D3" s="286"/>
      <c r="E3" s="286"/>
      <c r="F3" s="286"/>
      <c r="G3" s="286"/>
      <c r="H3" s="287"/>
    </row>
    <row r="4" spans="2:8" ht="15" x14ac:dyDescent="0.25">
      <c r="B4" s="288" t="s">
        <v>81</v>
      </c>
      <c r="C4" s="289"/>
      <c r="D4" s="289"/>
      <c r="E4" s="289"/>
      <c r="F4" s="289"/>
      <c r="G4" s="289"/>
      <c r="H4" s="290"/>
    </row>
    <row r="5" spans="2:8" x14ac:dyDescent="0.2"/>
    <row r="6" spans="2:8" ht="13.9" customHeight="1" x14ac:dyDescent="0.2">
      <c r="B6" s="291" t="s">
        <v>83</v>
      </c>
      <c r="C6" s="292"/>
      <c r="D6" s="292"/>
      <c r="E6" s="292"/>
      <c r="F6" s="292"/>
      <c r="G6" s="292"/>
      <c r="H6" s="293"/>
    </row>
    <row r="7" spans="2:8" x14ac:dyDescent="0.2">
      <c r="B7" s="294"/>
      <c r="C7" s="295"/>
      <c r="D7" s="295"/>
      <c r="E7" s="295"/>
      <c r="F7" s="295"/>
      <c r="G7" s="295"/>
      <c r="H7" s="296"/>
    </row>
    <row r="8" spans="2:8" ht="13.9" hidden="1" customHeight="1" x14ac:dyDescent="0.2">
      <c r="B8" s="294"/>
      <c r="C8" s="295"/>
      <c r="D8" s="295"/>
      <c r="E8" s="295"/>
      <c r="F8" s="295"/>
      <c r="G8" s="295"/>
      <c r="H8" s="296"/>
    </row>
    <row r="9" spans="2:8" ht="13.9" hidden="1" customHeight="1" x14ac:dyDescent="0.2">
      <c r="B9" s="297"/>
      <c r="C9" s="298"/>
      <c r="D9" s="298"/>
      <c r="E9" s="298"/>
      <c r="F9" s="298"/>
      <c r="G9" s="298"/>
      <c r="H9" s="299"/>
    </row>
    <row r="10" spans="2:8" ht="15" x14ac:dyDescent="0.25">
      <c r="B10" s="300" t="s">
        <v>48</v>
      </c>
      <c r="C10" s="301"/>
      <c r="D10" s="301"/>
      <c r="E10" s="301"/>
      <c r="F10" s="301"/>
      <c r="G10" s="301"/>
      <c r="H10" s="302"/>
    </row>
    <row r="11" spans="2:8" x14ac:dyDescent="0.2">
      <c r="B11" s="194"/>
      <c r="C11" s="194"/>
      <c r="D11" s="194"/>
      <c r="E11" s="194"/>
      <c r="F11" s="194"/>
      <c r="G11" s="194"/>
      <c r="H11" s="194"/>
    </row>
    <row r="12" spans="2:8" ht="13.9" customHeight="1" x14ac:dyDescent="0.2">
      <c r="C12" s="303" t="s">
        <v>47</v>
      </c>
      <c r="D12" s="303"/>
      <c r="E12" s="303"/>
      <c r="F12" s="170"/>
      <c r="G12" s="170"/>
    </row>
    <row r="13" spans="2:8" ht="13.9" customHeight="1" x14ac:dyDescent="0.2">
      <c r="C13" s="304" t="s">
        <v>61</v>
      </c>
      <c r="D13" s="304"/>
      <c r="E13" s="304"/>
      <c r="F13" s="170"/>
      <c r="G13" s="170"/>
    </row>
    <row r="14" spans="2:8" ht="13.9" customHeight="1" x14ac:dyDescent="0.2">
      <c r="C14" s="305" t="s">
        <v>61</v>
      </c>
      <c r="D14" s="305"/>
      <c r="E14" s="305"/>
      <c r="F14" s="170"/>
      <c r="G14" s="170"/>
    </row>
    <row r="15" spans="2:8" hidden="1" x14ac:dyDescent="0.2">
      <c r="B15" s="170"/>
      <c r="C15" s="170"/>
      <c r="D15" s="170"/>
      <c r="E15" s="170"/>
      <c r="F15" s="170"/>
      <c r="G15" s="170"/>
    </row>
    <row r="16" spans="2:8" hidden="1" x14ac:dyDescent="0.2">
      <c r="B16" s="170"/>
      <c r="C16" s="170"/>
      <c r="D16" s="170"/>
      <c r="E16" s="170"/>
      <c r="F16" s="170"/>
      <c r="G16" s="170"/>
    </row>
    <row r="17" spans="2:8" hidden="1" x14ac:dyDescent="0.2"/>
    <row r="18" spans="2:8" ht="15" x14ac:dyDescent="0.25">
      <c r="B18" s="133" t="s">
        <v>8</v>
      </c>
    </row>
    <row r="19" spans="2:8" ht="15.75" x14ac:dyDescent="0.25">
      <c r="B19" s="171" t="s">
        <v>53</v>
      </c>
      <c r="C19" s="11">
        <f>+'Indicatie netto kosten'!D22</f>
        <v>31500</v>
      </c>
      <c r="D19" s="130" t="s">
        <v>18</v>
      </c>
      <c r="E19" s="131" t="s">
        <v>54</v>
      </c>
      <c r="F19" s="129"/>
      <c r="G19" s="129"/>
    </row>
    <row r="20" spans="2:8" ht="15.75" x14ac:dyDescent="0.25">
      <c r="B20" s="179"/>
      <c r="C20" s="11"/>
      <c r="D20" s="130"/>
      <c r="E20" s="131"/>
      <c r="F20" s="129"/>
      <c r="G20" s="129"/>
    </row>
    <row r="21" spans="2:8" x14ac:dyDescent="0.2"/>
    <row r="22" spans="2:8" ht="15" x14ac:dyDescent="0.25">
      <c r="B22" s="133"/>
      <c r="D22" s="138" t="s">
        <v>19</v>
      </c>
    </row>
    <row r="23" spans="2:8" x14ac:dyDescent="0.2">
      <c r="D23" s="139" t="s">
        <v>3</v>
      </c>
      <c r="E23" s="139" t="s">
        <v>4</v>
      </c>
      <c r="F23" s="139" t="s">
        <v>5</v>
      </c>
      <c r="G23" s="139" t="s">
        <v>6</v>
      </c>
    </row>
    <row r="24" spans="2:8" ht="15" x14ac:dyDescent="0.25">
      <c r="B24" s="132" t="s">
        <v>16</v>
      </c>
      <c r="C24" s="140" t="s">
        <v>15</v>
      </c>
      <c r="D24" s="192" t="str">
        <f>+'Indicatie netto kosten'!B26</f>
        <v>KDV 0-4</v>
      </c>
      <c r="E24" s="192">
        <f>+'Indicatie netto kosten'!B27</f>
        <v>0</v>
      </c>
      <c r="F24" s="192">
        <f>+'Indicatie netto kosten'!B28</f>
        <v>0</v>
      </c>
      <c r="G24" s="192">
        <f>+'Indicatie netto kosten'!B29</f>
        <v>0</v>
      </c>
    </row>
    <row r="25" spans="2:8" ht="15" x14ac:dyDescent="0.25">
      <c r="B25" s="171" t="s">
        <v>59</v>
      </c>
      <c r="C25" s="140" t="s">
        <v>17</v>
      </c>
      <c r="D25" s="193">
        <f>+'Indicatie netto kosten'!D26</f>
        <v>100</v>
      </c>
      <c r="E25" s="193">
        <f>+'Indicatie netto kosten'!D27</f>
        <v>0</v>
      </c>
      <c r="F25" s="193">
        <f>+'Indicatie netto kosten'!D28</f>
        <v>0</v>
      </c>
      <c r="G25" s="193">
        <f>+'Indicatie netto kosten'!D29</f>
        <v>0</v>
      </c>
    </row>
    <row r="26" spans="2:8" ht="15" x14ac:dyDescent="0.25">
      <c r="B26" s="179"/>
      <c r="C26" s="140"/>
      <c r="D26" s="193"/>
      <c r="E26" s="193"/>
      <c r="F26" s="193"/>
      <c r="G26" s="193"/>
    </row>
    <row r="27" spans="2:8" ht="15" x14ac:dyDescent="0.25">
      <c r="B27" s="171" t="s">
        <v>80</v>
      </c>
      <c r="C27" s="140" t="s">
        <v>17</v>
      </c>
      <c r="D27" s="108">
        <f>IF(D24="KDV 0-4",10.57,9.54)</f>
        <v>10.57</v>
      </c>
      <c r="E27" s="108">
        <f t="shared" ref="E27:G27" si="0">IF(E24="KDV 0-4",10.57,9.54)</f>
        <v>9.5399999999999991</v>
      </c>
      <c r="F27" s="108">
        <f t="shared" si="0"/>
        <v>9.5399999999999991</v>
      </c>
      <c r="G27" s="108">
        <f t="shared" si="0"/>
        <v>9.5399999999999991</v>
      </c>
    </row>
    <row r="28" spans="2:8" ht="15" x14ac:dyDescent="0.25">
      <c r="B28" s="179"/>
      <c r="C28" s="140"/>
      <c r="D28" s="108"/>
      <c r="E28" s="108"/>
      <c r="F28" s="108"/>
      <c r="G28" s="108"/>
    </row>
    <row r="29" spans="2:8" x14ac:dyDescent="0.2">
      <c r="B29" s="134"/>
      <c r="C29" s="134"/>
      <c r="D29" s="137"/>
      <c r="E29" s="137"/>
      <c r="F29" s="137"/>
      <c r="G29" s="137"/>
    </row>
    <row r="30" spans="2:8" x14ac:dyDescent="0.2"/>
    <row r="31" spans="2:8" x14ac:dyDescent="0.2">
      <c r="B31" s="199" t="s">
        <v>51</v>
      </c>
      <c r="C31" s="204"/>
      <c r="D31" s="120">
        <f>+D32</f>
        <v>10.25</v>
      </c>
      <c r="E31" s="120">
        <f t="shared" ref="E31:G31" si="1">+E32</f>
        <v>7.53</v>
      </c>
      <c r="F31" s="120">
        <f t="shared" si="1"/>
        <v>7.53</v>
      </c>
      <c r="G31" s="121">
        <f t="shared" si="1"/>
        <v>7.53</v>
      </c>
      <c r="H31" s="21"/>
    </row>
    <row r="32" spans="2:8" hidden="1" x14ac:dyDescent="0.2">
      <c r="B32" s="203" t="s">
        <v>36</v>
      </c>
      <c r="C32" s="134"/>
      <c r="D32" s="20">
        <f>+basisinfo2024!C13</f>
        <v>10.25</v>
      </c>
      <c r="E32" s="20">
        <f>+basisinfo2024!D13</f>
        <v>7.53</v>
      </c>
      <c r="F32" s="20">
        <f>+basisinfo2024!E13</f>
        <v>7.53</v>
      </c>
      <c r="G32" s="123">
        <f>+basisinfo2024!F13</f>
        <v>7.53</v>
      </c>
      <c r="H32" s="21"/>
    </row>
    <row r="33" spans="2:8" x14ac:dyDescent="0.2">
      <c r="B33" s="196"/>
      <c r="C33" s="185"/>
      <c r="D33" s="124"/>
      <c r="E33" s="124"/>
      <c r="F33" s="124"/>
      <c r="G33" s="125"/>
      <c r="H33" s="21"/>
    </row>
    <row r="34" spans="2:8" x14ac:dyDescent="0.2">
      <c r="B34" s="134"/>
      <c r="C34" s="134"/>
      <c r="D34" s="20"/>
      <c r="E34" s="20"/>
      <c r="F34" s="20"/>
      <c r="G34" s="20"/>
      <c r="H34" s="21"/>
    </row>
    <row r="35" spans="2:8" x14ac:dyDescent="0.2">
      <c r="B35" s="199" t="s">
        <v>52</v>
      </c>
      <c r="C35" s="204" t="s">
        <v>45</v>
      </c>
      <c r="D35" s="200">
        <f>IF(D25&gt;0,VLOOKUP($C$19,tabelkot2024!$A$2:$D$72,3)," ")</f>
        <v>93.4</v>
      </c>
      <c r="E35" s="200" t="str">
        <f>IF(E25&gt;0,VLOOKUP($C$19,tabelkot2024!$A$2:$D$72,4)," ")</f>
        <v xml:space="preserve"> </v>
      </c>
      <c r="F35" s="200" t="str">
        <f>IF(F25&gt;0,VLOOKUP($C$19,tabelkot2024!$A$2:$D$72,4)," ")</f>
        <v xml:space="preserve"> </v>
      </c>
      <c r="G35" s="200" t="str">
        <f>IF(G25&gt;0,VLOOKUP($C$19,tabelkot2024!$A$2:$D$72,4)," ")</f>
        <v xml:space="preserve"> </v>
      </c>
      <c r="H35" s="21"/>
    </row>
    <row r="36" spans="2:8" x14ac:dyDescent="0.2">
      <c r="B36" s="196" t="s">
        <v>52</v>
      </c>
      <c r="C36" s="185" t="s">
        <v>45</v>
      </c>
      <c r="D36" s="201" t="e">
        <f>+#REF!</f>
        <v>#REF!</v>
      </c>
      <c r="E36" s="201" t="e">
        <f>+#REF!</f>
        <v>#REF!</v>
      </c>
      <c r="F36" s="201" t="e">
        <f>+#REF!</f>
        <v>#REF!</v>
      </c>
      <c r="G36" s="202" t="e">
        <f>+#REF!</f>
        <v>#REF!</v>
      </c>
      <c r="H36" s="21"/>
    </row>
    <row r="37" spans="2:8" x14ac:dyDescent="0.2">
      <c r="B37" s="134"/>
      <c r="D37" s="153"/>
      <c r="E37" s="153"/>
      <c r="F37" s="153"/>
      <c r="G37" s="153"/>
    </row>
    <row r="38" spans="2:8" hidden="1" x14ac:dyDescent="0.2">
      <c r="B38" s="134" t="s">
        <v>11</v>
      </c>
      <c r="C38" s="134"/>
      <c r="D38" s="136">
        <f>IF(D25&gt;230,230,D25)</f>
        <v>100</v>
      </c>
      <c r="E38" s="136">
        <f>IF(E25&gt;230,230,E25)</f>
        <v>0</v>
      </c>
      <c r="F38" s="136">
        <f>IF(F25&gt;230,230,F25)</f>
        <v>0</v>
      </c>
      <c r="G38" s="136">
        <f>IF(G25&gt;230,230,G25)</f>
        <v>0</v>
      </c>
      <c r="H38" s="21"/>
    </row>
    <row r="39" spans="2:8" ht="16.149999999999999" customHeight="1" x14ac:dyDescent="0.25">
      <c r="B39" s="189"/>
      <c r="C39" s="190"/>
      <c r="D39" s="191" t="str">
        <f>IF(D25&gt;0,+D24," ")</f>
        <v>KDV 0-4</v>
      </c>
      <c r="E39" s="191" t="str">
        <f>IF(E25&gt;0,+E24," ")</f>
        <v xml:space="preserve"> </v>
      </c>
      <c r="F39" s="191" t="str">
        <f>IF(F25&gt;0,+F24," ")</f>
        <v xml:space="preserve"> </v>
      </c>
      <c r="G39" s="191" t="str">
        <f>IF(G25&gt;0,+G24," ")</f>
        <v xml:space="preserve"> </v>
      </c>
      <c r="H39" s="103" t="s">
        <v>7</v>
      </c>
    </row>
    <row r="40" spans="2:8" ht="16.149999999999999" customHeight="1" x14ac:dyDescent="0.2">
      <c r="B40" s="173" t="s">
        <v>56</v>
      </c>
      <c r="C40" s="172"/>
      <c r="D40" s="178">
        <f>IF(D25&gt;0,(D66+D67)/D61," ")</f>
        <v>3.0274361400189242E-2</v>
      </c>
      <c r="E40" s="178" t="str">
        <f>IF(E25&gt;0,(E66+E67)/E61," ")</f>
        <v xml:space="preserve"> </v>
      </c>
      <c r="F40" s="178" t="str">
        <f>IF(F25&gt;0,(F66+F67)/F61," ")</f>
        <v xml:space="preserve"> </v>
      </c>
      <c r="G40" s="178" t="str">
        <f>IF(G25&gt;0,(G66+G67)/G61," ")</f>
        <v xml:space="preserve"> </v>
      </c>
      <c r="H40" s="195">
        <f>IF(H68&gt;0,(H66+H67)/H61,0%)</f>
        <v>3.0274361400189242E-2</v>
      </c>
    </row>
    <row r="41" spans="2:8" ht="16.149999999999999" customHeight="1" x14ac:dyDescent="0.2">
      <c r="B41" s="196" t="s">
        <v>56</v>
      </c>
      <c r="C41" s="185"/>
      <c r="D41" s="197" t="e">
        <f>+#REF!</f>
        <v>#REF!</v>
      </c>
      <c r="E41" s="197" t="e">
        <f>+#REF!</f>
        <v>#REF!</v>
      </c>
      <c r="F41" s="197" t="e">
        <f>+#REF!</f>
        <v>#REF!</v>
      </c>
      <c r="G41" s="197" t="e">
        <f>+#REF!</f>
        <v>#REF!</v>
      </c>
      <c r="H41" s="198" t="e">
        <f>+#REF!</f>
        <v>#REF!</v>
      </c>
    </row>
    <row r="42" spans="2:8" ht="16.149999999999999" hidden="1" customHeight="1" x14ac:dyDescent="0.2">
      <c r="B42" s="134"/>
      <c r="C42" s="134"/>
      <c r="D42" s="137"/>
      <c r="E42" s="137"/>
      <c r="F42" s="137"/>
      <c r="G42" s="137"/>
      <c r="H42" s="137"/>
    </row>
    <row r="43" spans="2:8" ht="16.149999999999999" hidden="1" customHeight="1" x14ac:dyDescent="0.2">
      <c r="B43" s="134"/>
      <c r="C43" s="134"/>
      <c r="D43" s="137"/>
      <c r="E43" s="137"/>
      <c r="F43" s="137"/>
      <c r="G43" s="137"/>
      <c r="H43" s="137"/>
    </row>
    <row r="44" spans="2:8" hidden="1" x14ac:dyDescent="0.2">
      <c r="B44" s="134" t="s">
        <v>10</v>
      </c>
      <c r="C44" s="134"/>
      <c r="D44" s="136">
        <f>IF(D25&gt;230,D25-230,0)</f>
        <v>0</v>
      </c>
      <c r="E44" s="136">
        <f>IF(E25&gt;230,E25-230,0)</f>
        <v>0</v>
      </c>
      <c r="F44" s="136">
        <f>IF(F25&gt;230,F25-230,0)</f>
        <v>0</v>
      </c>
      <c r="G44" s="136">
        <f>IF(G25&gt;230,G25-230,0)</f>
        <v>0</v>
      </c>
      <c r="H44" s="21"/>
    </row>
    <row r="45" spans="2:8" ht="15" hidden="1" x14ac:dyDescent="0.25">
      <c r="B45" s="134"/>
      <c r="C45" s="134"/>
      <c r="D45" s="137"/>
      <c r="E45" s="137"/>
      <c r="F45" s="137"/>
      <c r="G45" s="137"/>
      <c r="H45" s="24" t="s">
        <v>7</v>
      </c>
    </row>
    <row r="46" spans="2:8" ht="15" hidden="1" x14ac:dyDescent="0.25">
      <c r="B46" s="135" t="s">
        <v>9</v>
      </c>
      <c r="C46" s="135"/>
      <c r="D46" s="25">
        <f>D25*D27</f>
        <v>1057</v>
      </c>
      <c r="E46" s="25">
        <f>E25*E27</f>
        <v>0</v>
      </c>
      <c r="F46" s="25">
        <f>F25*F27</f>
        <v>0</v>
      </c>
      <c r="G46" s="25">
        <f>G25*G27</f>
        <v>0</v>
      </c>
      <c r="H46" s="25">
        <f>SUM(D46:G46)</f>
        <v>1057</v>
      </c>
    </row>
    <row r="47" spans="2:8" hidden="1" x14ac:dyDescent="0.2">
      <c r="B47" s="134" t="s">
        <v>24</v>
      </c>
      <c r="C47" s="134"/>
      <c r="D47" s="21">
        <f>IF(D27&gt;D31,D25*(D27-D32),0)</f>
        <v>32.000000000000028</v>
      </c>
      <c r="E47" s="21">
        <f>IF(E27&gt;E31,E25*(E27-E32),0)</f>
        <v>0</v>
      </c>
      <c r="F47" s="21">
        <f>IF(F27&gt;F31,F25*(F27-F32),0)</f>
        <v>0</v>
      </c>
      <c r="G47" s="21">
        <f>IF(G27&gt;G31,G25*(G27-G32),0)</f>
        <v>0</v>
      </c>
      <c r="H47" s="21">
        <f>SUM(D47:G47)</f>
        <v>32.000000000000028</v>
      </c>
    </row>
    <row r="48" spans="2:8" ht="16.5" hidden="1" x14ac:dyDescent="0.35">
      <c r="B48" s="134" t="s">
        <v>25</v>
      </c>
      <c r="C48" s="134"/>
      <c r="D48" s="26">
        <f>D44*D32</f>
        <v>0</v>
      </c>
      <c r="E48" s="26">
        <f>E44*E32</f>
        <v>0</v>
      </c>
      <c r="F48" s="26">
        <f>F44*F32</f>
        <v>0</v>
      </c>
      <c r="G48" s="26">
        <f>G44*G32</f>
        <v>0</v>
      </c>
      <c r="H48" s="26">
        <f t="shared" ref="H48" si="2">SUM(D48:G48)</f>
        <v>0</v>
      </c>
    </row>
    <row r="49" spans="2:9" hidden="1" x14ac:dyDescent="0.2">
      <c r="B49" s="134"/>
      <c r="C49" s="134"/>
      <c r="D49" s="21"/>
      <c r="E49" s="21"/>
      <c r="F49" s="21"/>
      <c r="G49" s="21"/>
      <c r="H49" s="21"/>
      <c r="I49" s="17"/>
    </row>
    <row r="50" spans="2:9" ht="15" hidden="1" x14ac:dyDescent="0.25">
      <c r="B50" s="135" t="s">
        <v>26</v>
      </c>
      <c r="C50" s="135"/>
      <c r="D50" s="25">
        <f>D46-D47-D48</f>
        <v>1025</v>
      </c>
      <c r="E50" s="25">
        <f t="shared" ref="E50:H50" si="3">E46-E47-E48</f>
        <v>0</v>
      </c>
      <c r="F50" s="25">
        <f t="shared" si="3"/>
        <v>0</v>
      </c>
      <c r="G50" s="25">
        <f t="shared" si="3"/>
        <v>0</v>
      </c>
      <c r="H50" s="25">
        <f t="shared" si="3"/>
        <v>1025</v>
      </c>
    </row>
    <row r="51" spans="2:9" hidden="1" x14ac:dyDescent="0.2">
      <c r="B51" s="134" t="s">
        <v>27</v>
      </c>
      <c r="C51" s="134"/>
      <c r="D51" s="21">
        <f>IF(D25&gt;0,D50*D35%,0)</f>
        <v>957.35</v>
      </c>
      <c r="E51" s="21">
        <f>IF(E25&gt;0,E50*E35%,0)</f>
        <v>0</v>
      </c>
      <c r="F51" s="21">
        <f>IF(F25&gt;0,F50*F35%,0)</f>
        <v>0</v>
      </c>
      <c r="G51" s="21">
        <f>IF(G25&gt;0,G50*G35%,0)</f>
        <v>0</v>
      </c>
      <c r="H51" s="21">
        <f>SUM(D51:G51)</f>
        <v>957.35</v>
      </c>
    </row>
    <row r="52" spans="2:9" hidden="1" x14ac:dyDescent="0.2">
      <c r="B52" s="134"/>
      <c r="C52" s="134"/>
      <c r="D52" s="21"/>
      <c r="E52" s="21"/>
      <c r="F52" s="21"/>
      <c r="G52" s="21"/>
      <c r="H52" s="21"/>
    </row>
    <row r="53" spans="2:9" hidden="1" x14ac:dyDescent="0.2">
      <c r="B53" s="134"/>
      <c r="C53" s="134"/>
      <c r="D53" s="21"/>
      <c r="E53" s="21"/>
      <c r="F53" s="21"/>
      <c r="G53" s="21"/>
      <c r="H53" s="21"/>
    </row>
    <row r="54" spans="2:9" hidden="1" x14ac:dyDescent="0.2">
      <c r="B54" s="134"/>
      <c r="C54" s="134"/>
      <c r="D54" s="21"/>
      <c r="E54" s="21"/>
      <c r="F54" s="21"/>
      <c r="G54" s="21"/>
      <c r="H54" s="21"/>
    </row>
    <row r="55" spans="2:9" x14ac:dyDescent="0.2">
      <c r="B55" s="134"/>
      <c r="C55" s="134"/>
      <c r="D55" s="21"/>
      <c r="E55" s="21"/>
      <c r="F55" s="21"/>
      <c r="G55" s="21"/>
      <c r="H55" s="21"/>
    </row>
    <row r="56" spans="2:9" ht="13.9" customHeight="1" x14ac:dyDescent="0.2">
      <c r="B56" s="306" t="s">
        <v>86</v>
      </c>
      <c r="C56" s="307"/>
      <c r="D56" s="307"/>
      <c r="E56" s="307"/>
      <c r="F56" s="307"/>
      <c r="G56" s="307"/>
      <c r="H56" s="308"/>
    </row>
    <row r="57" spans="2:9" x14ac:dyDescent="0.2">
      <c r="B57" s="309"/>
      <c r="C57" s="310"/>
      <c r="D57" s="310"/>
      <c r="E57" s="310"/>
      <c r="F57" s="310"/>
      <c r="G57" s="310"/>
      <c r="H57" s="311"/>
    </row>
    <row r="58" spans="2:9" x14ac:dyDescent="0.2">
      <c r="B58" s="312"/>
      <c r="C58" s="313"/>
      <c r="D58" s="313"/>
      <c r="E58" s="313"/>
      <c r="F58" s="313"/>
      <c r="G58" s="313"/>
      <c r="H58" s="314"/>
    </row>
    <row r="59" spans="2:9" x14ac:dyDescent="0.2">
      <c r="B59" s="134"/>
      <c r="C59" s="134"/>
      <c r="D59" s="21"/>
      <c r="E59" s="21"/>
      <c r="F59" s="21"/>
      <c r="G59" s="21"/>
      <c r="H59" s="21"/>
    </row>
    <row r="60" spans="2:9" ht="15" x14ac:dyDescent="0.25">
      <c r="B60" s="277" t="s">
        <v>46</v>
      </c>
      <c r="C60" s="278"/>
      <c r="D60" s="66"/>
      <c r="E60" s="66"/>
      <c r="F60" s="66"/>
      <c r="G60" s="66"/>
      <c r="H60" s="67"/>
    </row>
    <row r="61" spans="2:9" x14ac:dyDescent="0.2">
      <c r="B61" s="173" t="s">
        <v>13</v>
      </c>
      <c r="C61" s="172"/>
      <c r="D61" s="69">
        <f>+D46</f>
        <v>1057</v>
      </c>
      <c r="E61" s="69">
        <f>+E46</f>
        <v>0</v>
      </c>
      <c r="F61" s="69">
        <f>+F46</f>
        <v>0</v>
      </c>
      <c r="G61" s="69">
        <f>+G46</f>
        <v>0</v>
      </c>
      <c r="H61" s="70">
        <f>SUM(D61:G61)</f>
        <v>1057</v>
      </c>
    </row>
    <row r="62" spans="2:9" ht="16.5" x14ac:dyDescent="0.35">
      <c r="B62" s="173" t="s">
        <v>12</v>
      </c>
      <c r="C62" s="172"/>
      <c r="D62" s="71">
        <f>+D51</f>
        <v>957.35</v>
      </c>
      <c r="E62" s="71">
        <f>+E51</f>
        <v>0</v>
      </c>
      <c r="F62" s="71">
        <f>+F51</f>
        <v>0</v>
      </c>
      <c r="G62" s="71">
        <f>+G51</f>
        <v>0</v>
      </c>
      <c r="H62" s="72">
        <f>SUM(D62:G62)</f>
        <v>957.35</v>
      </c>
    </row>
    <row r="63" spans="2:9" s="133" customFormat="1" ht="15" x14ac:dyDescent="0.25">
      <c r="B63" s="174" t="s">
        <v>40</v>
      </c>
      <c r="C63" s="175"/>
      <c r="D63" s="75">
        <f>D61-D62</f>
        <v>99.649999999999977</v>
      </c>
      <c r="E63" s="75">
        <f t="shared" ref="E63:H63" si="4">E61-E62</f>
        <v>0</v>
      </c>
      <c r="F63" s="75">
        <f t="shared" si="4"/>
        <v>0</v>
      </c>
      <c r="G63" s="75">
        <f t="shared" si="4"/>
        <v>0</v>
      </c>
      <c r="H63" s="76">
        <f t="shared" si="4"/>
        <v>99.649999999999977</v>
      </c>
    </row>
    <row r="64" spans="2:9" x14ac:dyDescent="0.2">
      <c r="B64" s="173"/>
      <c r="C64" s="172"/>
      <c r="D64" s="69"/>
      <c r="E64" s="69"/>
      <c r="F64" s="69"/>
      <c r="G64" s="69"/>
      <c r="H64" s="70"/>
    </row>
    <row r="65" spans="2:8" ht="15" x14ac:dyDescent="0.25">
      <c r="B65" s="174" t="s">
        <v>41</v>
      </c>
      <c r="C65" s="172"/>
      <c r="D65" s="69"/>
      <c r="E65" s="69"/>
      <c r="F65" s="69"/>
      <c r="G65" s="69"/>
      <c r="H65" s="70"/>
    </row>
    <row r="66" spans="2:8" x14ac:dyDescent="0.2">
      <c r="B66" s="173" t="s">
        <v>37</v>
      </c>
      <c r="C66" s="172"/>
      <c r="D66" s="69">
        <f t="shared" ref="D66:G67" si="5">+D47</f>
        <v>32.000000000000028</v>
      </c>
      <c r="E66" s="69">
        <f t="shared" si="5"/>
        <v>0</v>
      </c>
      <c r="F66" s="69">
        <f t="shared" si="5"/>
        <v>0</v>
      </c>
      <c r="G66" s="69">
        <f t="shared" si="5"/>
        <v>0</v>
      </c>
      <c r="H66" s="70">
        <f>SUM(D66:G66)</f>
        <v>32.000000000000028</v>
      </c>
    </row>
    <row r="67" spans="2:8" x14ac:dyDescent="0.2">
      <c r="B67" s="173" t="s">
        <v>38</v>
      </c>
      <c r="C67" s="172"/>
      <c r="D67" s="69">
        <f t="shared" si="5"/>
        <v>0</v>
      </c>
      <c r="E67" s="69">
        <f t="shared" si="5"/>
        <v>0</v>
      </c>
      <c r="F67" s="69">
        <f t="shared" si="5"/>
        <v>0</v>
      </c>
      <c r="G67" s="69">
        <f t="shared" si="5"/>
        <v>0</v>
      </c>
      <c r="H67" s="70">
        <f>SUM(D67:G67)</f>
        <v>0</v>
      </c>
    </row>
    <row r="68" spans="2:8" ht="16.5" x14ac:dyDescent="0.35">
      <c r="B68" s="173" t="s">
        <v>39</v>
      </c>
      <c r="C68" s="172"/>
      <c r="D68" s="71">
        <f>D50-D51</f>
        <v>67.649999999999977</v>
      </c>
      <c r="E68" s="71">
        <f>E50-E51</f>
        <v>0</v>
      </c>
      <c r="F68" s="71">
        <f>F50-F51</f>
        <v>0</v>
      </c>
      <c r="G68" s="71">
        <f>G50-G51</f>
        <v>0</v>
      </c>
      <c r="H68" s="72">
        <f>SUM(D68:G68)</f>
        <v>67.649999999999977</v>
      </c>
    </row>
    <row r="69" spans="2:8" ht="15" x14ac:dyDescent="0.25">
      <c r="B69" s="176" t="s">
        <v>60</v>
      </c>
      <c r="C69" s="177"/>
      <c r="D69" s="79">
        <f>SUM(D66:D68)</f>
        <v>99.65</v>
      </c>
      <c r="E69" s="79">
        <f>SUM(E66:E68)</f>
        <v>0</v>
      </c>
      <c r="F69" s="79">
        <f>SUM(F66:F68)</f>
        <v>0</v>
      </c>
      <c r="G69" s="79">
        <f>SUM(G66:G68)</f>
        <v>0</v>
      </c>
      <c r="H69" s="80">
        <f>SUM(H66:H68)</f>
        <v>99.65</v>
      </c>
    </row>
    <row r="70" spans="2:8" x14ac:dyDescent="0.2">
      <c r="B70" s="134"/>
      <c r="C70" s="134"/>
      <c r="D70" s="134"/>
      <c r="E70" s="134"/>
      <c r="F70" s="134"/>
      <c r="G70" s="134"/>
      <c r="H70" s="21"/>
    </row>
    <row r="71" spans="2:8" x14ac:dyDescent="0.2">
      <c r="B71" s="134"/>
      <c r="C71" s="134"/>
      <c r="D71" s="134"/>
      <c r="E71" s="134"/>
      <c r="F71" s="134"/>
      <c r="G71" s="134"/>
      <c r="H71" s="21"/>
    </row>
    <row r="72" spans="2:8" ht="15" x14ac:dyDescent="0.25">
      <c r="B72" s="277" t="s">
        <v>46</v>
      </c>
      <c r="C72" s="278"/>
      <c r="D72" s="84"/>
      <c r="E72" s="84"/>
      <c r="F72" s="84"/>
      <c r="G72" s="84"/>
      <c r="H72" s="85"/>
    </row>
    <row r="73" spans="2:8" x14ac:dyDescent="0.2">
      <c r="B73" s="181" t="s">
        <v>13</v>
      </c>
      <c r="C73" s="180"/>
      <c r="D73" s="87" t="e">
        <f>+#REF!</f>
        <v>#REF!</v>
      </c>
      <c r="E73" s="87" t="e">
        <f>+#REF!</f>
        <v>#REF!</v>
      </c>
      <c r="F73" s="87" t="e">
        <f>+#REF!</f>
        <v>#REF!</v>
      </c>
      <c r="G73" s="87" t="e">
        <f>+#REF!</f>
        <v>#REF!</v>
      </c>
      <c r="H73" s="88" t="e">
        <f>SUM(D73:G73)</f>
        <v>#REF!</v>
      </c>
    </row>
    <row r="74" spans="2:8" ht="16.5" x14ac:dyDescent="0.35">
      <c r="B74" s="181" t="s">
        <v>12</v>
      </c>
      <c r="C74" s="180"/>
      <c r="D74" s="89" t="e">
        <f>+#REF!</f>
        <v>#REF!</v>
      </c>
      <c r="E74" s="89" t="e">
        <f>+#REF!</f>
        <v>#REF!</v>
      </c>
      <c r="F74" s="89" t="e">
        <f>+#REF!</f>
        <v>#REF!</v>
      </c>
      <c r="G74" s="89" t="e">
        <f>+#REF!</f>
        <v>#REF!</v>
      </c>
      <c r="H74" s="90" t="e">
        <f>SUM(D74:G74)</f>
        <v>#REF!</v>
      </c>
    </row>
    <row r="75" spans="2:8" s="133" customFormat="1" ht="15" x14ac:dyDescent="0.25">
      <c r="B75" s="182" t="s">
        <v>40</v>
      </c>
      <c r="C75" s="183"/>
      <c r="D75" s="93" t="e">
        <f>D73-D74</f>
        <v>#REF!</v>
      </c>
      <c r="E75" s="93" t="e">
        <f t="shared" ref="E75:H75" si="6">E73-E74</f>
        <v>#REF!</v>
      </c>
      <c r="F75" s="93" t="e">
        <f t="shared" si="6"/>
        <v>#REF!</v>
      </c>
      <c r="G75" s="93" t="e">
        <f t="shared" si="6"/>
        <v>#REF!</v>
      </c>
      <c r="H75" s="94" t="e">
        <f t="shared" si="6"/>
        <v>#REF!</v>
      </c>
    </row>
    <row r="76" spans="2:8" x14ac:dyDescent="0.2">
      <c r="B76" s="181"/>
      <c r="C76" s="180"/>
      <c r="D76" s="87"/>
      <c r="E76" s="87"/>
      <c r="F76" s="87"/>
      <c r="G76" s="87"/>
      <c r="H76" s="88"/>
    </row>
    <row r="77" spans="2:8" ht="15" x14ac:dyDescent="0.25">
      <c r="B77" s="182" t="s">
        <v>41</v>
      </c>
      <c r="C77" s="180"/>
      <c r="D77" s="87"/>
      <c r="E77" s="87"/>
      <c r="F77" s="87"/>
      <c r="G77" s="87"/>
      <c r="H77" s="88"/>
    </row>
    <row r="78" spans="2:8" x14ac:dyDescent="0.2">
      <c r="B78" s="181" t="s">
        <v>37</v>
      </c>
      <c r="C78" s="180"/>
      <c r="D78" s="87" t="e">
        <f>+#REF!</f>
        <v>#REF!</v>
      </c>
      <c r="E78" s="87" t="e">
        <f>+#REF!</f>
        <v>#REF!</v>
      </c>
      <c r="F78" s="87" t="e">
        <f>+#REF!</f>
        <v>#REF!</v>
      </c>
      <c r="G78" s="87" t="e">
        <f>+#REF!</f>
        <v>#REF!</v>
      </c>
      <c r="H78" s="88" t="e">
        <f>SUM(D78:G78)</f>
        <v>#REF!</v>
      </c>
    </row>
    <row r="79" spans="2:8" x14ac:dyDescent="0.2">
      <c r="B79" s="181" t="s">
        <v>38</v>
      </c>
      <c r="C79" s="180"/>
      <c r="D79" s="87" t="e">
        <f>+#REF!</f>
        <v>#REF!</v>
      </c>
      <c r="E79" s="87" t="e">
        <f>+#REF!</f>
        <v>#REF!</v>
      </c>
      <c r="F79" s="87" t="e">
        <f>+#REF!</f>
        <v>#REF!</v>
      </c>
      <c r="G79" s="87" t="e">
        <f>+#REF!</f>
        <v>#REF!</v>
      </c>
      <c r="H79" s="88" t="e">
        <f>SUM(D79:G79)</f>
        <v>#REF!</v>
      </c>
    </row>
    <row r="80" spans="2:8" ht="16.5" x14ac:dyDescent="0.35">
      <c r="B80" s="181" t="s">
        <v>39</v>
      </c>
      <c r="C80" s="180"/>
      <c r="D80" s="89" t="e">
        <f>+#REF!</f>
        <v>#REF!</v>
      </c>
      <c r="E80" s="89" t="e">
        <f>+#REF!</f>
        <v>#REF!</v>
      </c>
      <c r="F80" s="89" t="e">
        <f>+#REF!</f>
        <v>#REF!</v>
      </c>
      <c r="G80" s="89" t="e">
        <f>+#REF!</f>
        <v>#REF!</v>
      </c>
      <c r="H80" s="90" t="e">
        <f>SUM(D80:G80)</f>
        <v>#REF!</v>
      </c>
    </row>
    <row r="81" spans="2:8" ht="15" x14ac:dyDescent="0.25">
      <c r="B81" s="184" t="s">
        <v>60</v>
      </c>
      <c r="C81" s="185"/>
      <c r="D81" s="97" t="e">
        <f>SUM(D78:D80)</f>
        <v>#REF!</v>
      </c>
      <c r="E81" s="97" t="e">
        <f t="shared" ref="E81:G81" si="7">SUM(E78:E80)</f>
        <v>#REF!</v>
      </c>
      <c r="F81" s="97" t="e">
        <f t="shared" si="7"/>
        <v>#REF!</v>
      </c>
      <c r="G81" s="97" t="e">
        <f t="shared" si="7"/>
        <v>#REF!</v>
      </c>
      <c r="H81" s="98" t="e">
        <f>SUM(H78:H80)</f>
        <v>#REF!</v>
      </c>
    </row>
    <row r="82" spans="2:8" ht="15" x14ac:dyDescent="0.25">
      <c r="B82" s="135"/>
      <c r="C82" s="134"/>
      <c r="D82" s="25"/>
      <c r="E82" s="25"/>
      <c r="F82" s="25"/>
      <c r="G82" s="25"/>
      <c r="H82" s="25"/>
    </row>
    <row r="83" spans="2:8" ht="13.9" customHeight="1" x14ac:dyDescent="0.2">
      <c r="B83" s="317" t="s">
        <v>87</v>
      </c>
      <c r="C83" s="318"/>
      <c r="D83" s="318"/>
      <c r="E83" s="318"/>
      <c r="F83" s="318"/>
      <c r="G83" s="318"/>
      <c r="H83" s="319"/>
    </row>
    <row r="84" spans="2:8" x14ac:dyDescent="0.2">
      <c r="B84" s="320"/>
      <c r="C84" s="321"/>
      <c r="D84" s="321"/>
      <c r="E84" s="321"/>
      <c r="F84" s="321"/>
      <c r="G84" s="321"/>
      <c r="H84" s="322"/>
    </row>
    <row r="85" spans="2:8" ht="15" x14ac:dyDescent="0.25">
      <c r="B85" s="323" t="e">
        <f>IF(D35&lt;&gt;D36,"LET OP : DE INKOMENS OVER DE 2 JAREN VERSCHILLEN DUSDANIG DAT ER EEN VERSCHIL IS IN DE TOESLAGEN"," ")</f>
        <v>#REF!</v>
      </c>
      <c r="C85" s="323"/>
      <c r="D85" s="323"/>
      <c r="E85" s="323"/>
      <c r="F85" s="323"/>
      <c r="G85" s="323"/>
      <c r="H85" s="323"/>
    </row>
    <row r="86" spans="2:8" ht="15" x14ac:dyDescent="0.25">
      <c r="B86" s="323" t="str">
        <f>IF(D25&lt;&gt;D26,"LET OP : ER IS GEEN REKENING GEHOUDEN MET EEN VERSCHIL IN AANTAL KINDEROPVANGUREN TUSSEN DE 2 JAREN !"," ")</f>
        <v>LET OP : ER IS GEEN REKENING GEHOUDEN MET EEN VERSCHIL IN AANTAL KINDEROPVANGUREN TUSSEN DE 2 JAREN !</v>
      </c>
      <c r="C86" s="323"/>
      <c r="D86" s="323"/>
      <c r="E86" s="323"/>
      <c r="F86" s="323"/>
      <c r="G86" s="323"/>
      <c r="H86" s="323"/>
    </row>
    <row r="87" spans="2:8" ht="15" x14ac:dyDescent="0.25">
      <c r="B87" s="161" t="s">
        <v>78</v>
      </c>
      <c r="C87" s="154"/>
      <c r="D87" s="46"/>
      <c r="E87" s="46"/>
      <c r="F87" s="46"/>
      <c r="G87" s="46"/>
      <c r="H87" s="47"/>
    </row>
    <row r="88" spans="2:8" x14ac:dyDescent="0.2">
      <c r="B88" s="155" t="s">
        <v>13</v>
      </c>
      <c r="C88" s="156"/>
      <c r="D88" s="162" t="e">
        <f>D73-D61</f>
        <v>#REF!</v>
      </c>
      <c r="E88" s="162" t="e">
        <f>E73-E61</f>
        <v>#REF!</v>
      </c>
      <c r="F88" s="162" t="e">
        <f>F73-F61</f>
        <v>#REF!</v>
      </c>
      <c r="G88" s="162" t="e">
        <f>G73-G61</f>
        <v>#REF!</v>
      </c>
      <c r="H88" s="163" t="e">
        <f>H73-H61</f>
        <v>#REF!</v>
      </c>
    </row>
    <row r="89" spans="2:8" ht="16.5" x14ac:dyDescent="0.35">
      <c r="B89" s="155" t="s">
        <v>12</v>
      </c>
      <c r="C89" s="156"/>
      <c r="D89" s="164" t="e">
        <f>D62-D74</f>
        <v>#REF!</v>
      </c>
      <c r="E89" s="164" t="e">
        <f>E62-E74</f>
        <v>#REF!</v>
      </c>
      <c r="F89" s="164" t="e">
        <f>F62-F74</f>
        <v>#REF!</v>
      </c>
      <c r="G89" s="164" t="e">
        <f>G62-G74</f>
        <v>#REF!</v>
      </c>
      <c r="H89" s="165" t="e">
        <f>H62-H74</f>
        <v>#REF!</v>
      </c>
    </row>
    <row r="90" spans="2:8" ht="15" x14ac:dyDescent="0.25">
      <c r="B90" s="157" t="s">
        <v>40</v>
      </c>
      <c r="C90" s="158"/>
      <c r="D90" s="166" t="e">
        <f>D75-D63</f>
        <v>#REF!</v>
      </c>
      <c r="E90" s="166" t="e">
        <f>E75-E63</f>
        <v>#REF!</v>
      </c>
      <c r="F90" s="166" t="e">
        <f>F75-F63</f>
        <v>#REF!</v>
      </c>
      <c r="G90" s="166" t="e">
        <f>G75-G63</f>
        <v>#REF!</v>
      </c>
      <c r="H90" s="167" t="e">
        <f>H75-H63</f>
        <v>#REF!</v>
      </c>
    </row>
    <row r="91" spans="2:8" x14ac:dyDescent="0.2">
      <c r="B91" s="155"/>
      <c r="C91" s="156"/>
      <c r="D91" s="162"/>
      <c r="E91" s="162"/>
      <c r="F91" s="162"/>
      <c r="G91" s="162"/>
      <c r="H91" s="163"/>
    </row>
    <row r="92" spans="2:8" ht="15" x14ac:dyDescent="0.25">
      <c r="B92" s="157" t="s">
        <v>41</v>
      </c>
      <c r="C92" s="156"/>
      <c r="D92" s="162"/>
      <c r="E92" s="162"/>
      <c r="F92" s="162"/>
      <c r="G92" s="162"/>
      <c r="H92" s="163"/>
    </row>
    <row r="93" spans="2:8" x14ac:dyDescent="0.2">
      <c r="B93" s="155" t="s">
        <v>37</v>
      </c>
      <c r="C93" s="156"/>
      <c r="D93" s="162" t="e">
        <f t="shared" ref="D93:G95" si="8">D78-D66</f>
        <v>#REF!</v>
      </c>
      <c r="E93" s="162" t="e">
        <f t="shared" si="8"/>
        <v>#REF!</v>
      </c>
      <c r="F93" s="162" t="e">
        <f t="shared" si="8"/>
        <v>#REF!</v>
      </c>
      <c r="G93" s="162" t="e">
        <f t="shared" si="8"/>
        <v>#REF!</v>
      </c>
      <c r="H93" s="163" t="e">
        <f>SUM(D93:G93)</f>
        <v>#REF!</v>
      </c>
    </row>
    <row r="94" spans="2:8" x14ac:dyDescent="0.2">
      <c r="B94" s="155" t="s">
        <v>38</v>
      </c>
      <c r="C94" s="156"/>
      <c r="D94" s="162" t="e">
        <f t="shared" si="8"/>
        <v>#REF!</v>
      </c>
      <c r="E94" s="162" t="e">
        <f t="shared" si="8"/>
        <v>#REF!</v>
      </c>
      <c r="F94" s="162" t="e">
        <f t="shared" si="8"/>
        <v>#REF!</v>
      </c>
      <c r="G94" s="162" t="e">
        <f t="shared" si="8"/>
        <v>#REF!</v>
      </c>
      <c r="H94" s="163" t="e">
        <f>SUM(D94:G94)</f>
        <v>#REF!</v>
      </c>
    </row>
    <row r="95" spans="2:8" ht="16.5" x14ac:dyDescent="0.35">
      <c r="B95" s="155" t="s">
        <v>39</v>
      </c>
      <c r="C95" s="156"/>
      <c r="D95" s="164" t="e">
        <f t="shared" si="8"/>
        <v>#REF!</v>
      </c>
      <c r="E95" s="164" t="e">
        <f t="shared" si="8"/>
        <v>#REF!</v>
      </c>
      <c r="F95" s="164" t="e">
        <f t="shared" si="8"/>
        <v>#REF!</v>
      </c>
      <c r="G95" s="164" t="e">
        <f t="shared" si="8"/>
        <v>#REF!</v>
      </c>
      <c r="H95" s="165" t="e">
        <f>SUM(D95:G95)</f>
        <v>#REF!</v>
      </c>
    </row>
    <row r="96" spans="2:8" ht="15" x14ac:dyDescent="0.25">
      <c r="B96" s="159" t="s">
        <v>40</v>
      </c>
      <c r="C96" s="160"/>
      <c r="D96" s="168" t="e">
        <f>SUM(D93:D95)</f>
        <v>#REF!</v>
      </c>
      <c r="E96" s="168" t="e">
        <f t="shared" ref="E96:G96" si="9">SUM(E93:E95)</f>
        <v>#REF!</v>
      </c>
      <c r="F96" s="168" t="e">
        <f t="shared" si="9"/>
        <v>#REF!</v>
      </c>
      <c r="G96" s="168" t="e">
        <f t="shared" si="9"/>
        <v>#REF!</v>
      </c>
      <c r="H96" s="169" t="e">
        <f>SUM(H93:H95)</f>
        <v>#REF!</v>
      </c>
    </row>
    <row r="97" spans="2:8" x14ac:dyDescent="0.2">
      <c r="B97" s="134"/>
      <c r="C97" s="134"/>
      <c r="D97" s="134"/>
      <c r="E97" s="134"/>
      <c r="F97" s="134"/>
      <c r="G97" s="134"/>
      <c r="H97" s="21"/>
    </row>
    <row r="98" spans="2:8" x14ac:dyDescent="0.2">
      <c r="B98" s="134"/>
      <c r="C98" s="134"/>
      <c r="D98" s="134"/>
      <c r="E98" s="134"/>
      <c r="F98" s="134"/>
      <c r="G98" s="134"/>
      <c r="H98" s="21"/>
    </row>
    <row r="99" spans="2:8" ht="13.9" customHeight="1" x14ac:dyDescent="0.2">
      <c r="B99" s="317" t="s">
        <v>49</v>
      </c>
      <c r="C99" s="318"/>
      <c r="D99" s="318"/>
      <c r="E99" s="318"/>
      <c r="F99" s="318"/>
      <c r="G99" s="318"/>
      <c r="H99" s="319"/>
    </row>
    <row r="100" spans="2:8" x14ac:dyDescent="0.2">
      <c r="B100" s="320"/>
      <c r="C100" s="321"/>
      <c r="D100" s="321"/>
      <c r="E100" s="321"/>
      <c r="F100" s="321"/>
      <c r="G100" s="321"/>
      <c r="H100" s="322"/>
    </row>
    <row r="101" spans="2:8" x14ac:dyDescent="0.2">
      <c r="B101" s="134"/>
      <c r="C101" s="134"/>
      <c r="D101" s="134"/>
      <c r="E101" s="134"/>
      <c r="F101" s="134"/>
      <c r="G101" s="134"/>
      <c r="H101" s="21"/>
    </row>
    <row r="102" spans="2:8" x14ac:dyDescent="0.2">
      <c r="B102" s="172" t="s">
        <v>71</v>
      </c>
      <c r="C102" s="172"/>
      <c r="D102" s="178">
        <f>IF(D$69&lt;&gt;0,D69/D$46,0)</f>
        <v>9.4276253547776731E-2</v>
      </c>
      <c r="E102" s="178">
        <f>IF(E$69&lt;&gt;0,E69/E$46,0)</f>
        <v>0</v>
      </c>
      <c r="F102" s="178">
        <f>IF(F$25&gt;0,F69/F$46,0)</f>
        <v>0</v>
      </c>
      <c r="G102" s="178">
        <f>IF(G$69&lt;&gt;0,G69/G$46,0)</f>
        <v>0</v>
      </c>
      <c r="H102" s="178">
        <f>IF(H$69&lt;&gt;0,H69/H$46,0)</f>
        <v>9.4276253547776731E-2</v>
      </c>
    </row>
    <row r="103" spans="2:8" x14ac:dyDescent="0.2">
      <c r="B103" s="172" t="s">
        <v>72</v>
      </c>
      <c r="C103" s="172"/>
      <c r="D103" s="178">
        <f>IF(D$69&lt;&gt;0,1-D102,0)</f>
        <v>0.90572374645222331</v>
      </c>
      <c r="E103" s="178">
        <f t="shared" ref="E103:H103" si="10">IF(E$69&lt;&gt;0,1-E102,0)</f>
        <v>0</v>
      </c>
      <c r="F103" s="178">
        <f t="shared" si="10"/>
        <v>0</v>
      </c>
      <c r="G103" s="178">
        <f t="shared" si="10"/>
        <v>0</v>
      </c>
      <c r="H103" s="178">
        <f t="shared" si="10"/>
        <v>0.90572374645222331</v>
      </c>
    </row>
    <row r="104" spans="2:8" x14ac:dyDescent="0.2">
      <c r="B104" s="134"/>
      <c r="C104" s="134"/>
      <c r="D104" s="137"/>
      <c r="E104" s="137"/>
      <c r="F104" s="137"/>
      <c r="G104" s="137"/>
      <c r="H104" s="137"/>
    </row>
    <row r="105" spans="2:8" x14ac:dyDescent="0.2">
      <c r="B105" s="180" t="s">
        <v>57</v>
      </c>
      <c r="C105" s="180"/>
      <c r="D105" s="186" t="e">
        <f>+#REF!</f>
        <v>#REF!</v>
      </c>
      <c r="E105" s="186" t="e">
        <f>+#REF!</f>
        <v>#REF!</v>
      </c>
      <c r="F105" s="186" t="e">
        <f>+#REF!</f>
        <v>#REF!</v>
      </c>
      <c r="G105" s="186" t="e">
        <f>+#REF!</f>
        <v>#REF!</v>
      </c>
      <c r="H105" s="186" t="e">
        <f>+#REF!</f>
        <v>#REF!</v>
      </c>
    </row>
    <row r="106" spans="2:8" x14ac:dyDescent="0.2">
      <c r="B106" s="180" t="s">
        <v>58</v>
      </c>
      <c r="C106" s="180"/>
      <c r="D106" s="186" t="e">
        <f>IF(D$69&lt;&gt;0,1-D105,0)</f>
        <v>#REF!</v>
      </c>
      <c r="E106" s="186">
        <f t="shared" ref="E106:H106" si="11">IF(E$69&lt;&gt;0,1-E105,0)</f>
        <v>0</v>
      </c>
      <c r="F106" s="186">
        <f t="shared" si="11"/>
        <v>0</v>
      </c>
      <c r="G106" s="186">
        <f t="shared" si="11"/>
        <v>0</v>
      </c>
      <c r="H106" s="186" t="e">
        <f t="shared" si="11"/>
        <v>#REF!</v>
      </c>
    </row>
    <row r="107" spans="2:8" x14ac:dyDescent="0.2">
      <c r="B107" s="134"/>
      <c r="C107" s="134"/>
      <c r="D107" s="137"/>
      <c r="E107" s="137"/>
      <c r="F107" s="137"/>
      <c r="G107" s="137"/>
      <c r="H107" s="137"/>
    </row>
    <row r="108" spans="2:8" hidden="1" x14ac:dyDescent="0.2">
      <c r="B108" s="187" t="s">
        <v>73</v>
      </c>
      <c r="C108" s="172"/>
      <c r="D108" s="178">
        <f t="shared" ref="D108:H109" si="12">+D40</f>
        <v>3.0274361400189242E-2</v>
      </c>
      <c r="E108" s="178" t="str">
        <f t="shared" si="12"/>
        <v xml:space="preserve"> </v>
      </c>
      <c r="F108" s="178" t="str">
        <f t="shared" si="12"/>
        <v xml:space="preserve"> </v>
      </c>
      <c r="G108" s="178" t="str">
        <f t="shared" si="12"/>
        <v xml:space="preserve"> </v>
      </c>
      <c r="H108" s="178">
        <f t="shared" si="12"/>
        <v>3.0274361400189242E-2</v>
      </c>
    </row>
    <row r="109" spans="2:8" hidden="1" x14ac:dyDescent="0.2">
      <c r="B109" s="188" t="s">
        <v>74</v>
      </c>
      <c r="C109" s="180"/>
      <c r="D109" s="186" t="e">
        <f t="shared" si="12"/>
        <v>#REF!</v>
      </c>
      <c r="E109" s="186" t="e">
        <f t="shared" si="12"/>
        <v>#REF!</v>
      </c>
      <c r="F109" s="186" t="e">
        <f t="shared" si="12"/>
        <v>#REF!</v>
      </c>
      <c r="G109" s="186" t="e">
        <f t="shared" si="12"/>
        <v>#REF!</v>
      </c>
      <c r="H109" s="186" t="e">
        <f t="shared" si="12"/>
        <v>#REF!</v>
      </c>
    </row>
    <row r="110" spans="2:8" ht="15.6" hidden="1" customHeight="1" x14ac:dyDescent="0.25">
      <c r="B110" s="324" t="str">
        <f>IF(H108&gt;25%,"Een gedeelte van de maandelijkse kosten is dus het gevolg van het uurtarief van de kinderopvangorganisatie dat hoger is dan de maximale uurtariefvergoeding. Heb je wel eens een vergelijk gemaakt met de tarieven van een andere organisatie?"," ")</f>
        <v xml:space="preserve"> </v>
      </c>
      <c r="C110" s="324"/>
      <c r="D110" s="324"/>
      <c r="E110" s="324"/>
      <c r="F110" s="324"/>
      <c r="G110" s="324"/>
      <c r="H110" s="324"/>
    </row>
    <row r="111" spans="2:8" ht="15.6" customHeight="1" x14ac:dyDescent="0.2">
      <c r="B111" s="325" t="s">
        <v>50</v>
      </c>
      <c r="C111" s="326"/>
      <c r="D111" s="326"/>
      <c r="E111" s="326"/>
      <c r="F111" s="326"/>
      <c r="G111" s="326"/>
      <c r="H111" s="327"/>
    </row>
    <row r="112" spans="2:8" ht="13.9" customHeight="1" x14ac:dyDescent="0.2">
      <c r="B112" s="328"/>
      <c r="C112" s="324"/>
      <c r="D112" s="324"/>
      <c r="E112" s="324"/>
      <c r="F112" s="324"/>
      <c r="G112" s="324"/>
      <c r="H112" s="329"/>
    </row>
    <row r="113" spans="2:8" x14ac:dyDescent="0.2">
      <c r="B113" s="129"/>
      <c r="C113" s="129"/>
      <c r="D113" s="129"/>
      <c r="E113" s="129"/>
      <c r="F113" s="129"/>
      <c r="G113" s="129"/>
      <c r="H113" s="10"/>
    </row>
    <row r="114" spans="2:8" x14ac:dyDescent="0.2">
      <c r="B114" s="141" t="s">
        <v>20</v>
      </c>
      <c r="C114" s="142"/>
      <c r="D114" s="142"/>
      <c r="E114" s="143" t="s">
        <v>33</v>
      </c>
      <c r="F114" s="142"/>
      <c r="G114" s="142"/>
      <c r="H114" s="144"/>
    </row>
    <row r="115" spans="2:8" x14ac:dyDescent="0.2">
      <c r="B115" s="145" t="s">
        <v>21</v>
      </c>
      <c r="C115" s="152"/>
      <c r="D115" s="152"/>
      <c r="E115" s="146" t="s">
        <v>34</v>
      </c>
      <c r="F115" s="152"/>
      <c r="G115" s="152"/>
      <c r="H115" s="147"/>
    </row>
    <row r="116" spans="2:8" x14ac:dyDescent="0.2">
      <c r="B116" s="145" t="s">
        <v>28</v>
      </c>
      <c r="C116" s="152"/>
      <c r="D116" s="152"/>
      <c r="E116" s="148" t="s">
        <v>35</v>
      </c>
      <c r="F116" s="152"/>
      <c r="G116" s="152"/>
      <c r="H116" s="38"/>
    </row>
    <row r="117" spans="2:8" x14ac:dyDescent="0.2">
      <c r="B117" s="149" t="s">
        <v>31</v>
      </c>
      <c r="C117" s="150"/>
      <c r="D117" s="150"/>
      <c r="E117" s="151" t="s">
        <v>32</v>
      </c>
      <c r="F117" s="150"/>
      <c r="G117" s="150"/>
      <c r="H117" s="42"/>
    </row>
    <row r="118" spans="2:8" hidden="1" x14ac:dyDescent="0.2">
      <c r="B118" s="149" t="s">
        <v>44</v>
      </c>
      <c r="C118" s="150"/>
      <c r="D118" s="150"/>
      <c r="E118" s="151" t="s">
        <v>43</v>
      </c>
      <c r="F118" s="150"/>
      <c r="G118" s="150"/>
      <c r="H118" s="42"/>
    </row>
    <row r="119" spans="2:8" ht="28.15" customHeight="1" x14ac:dyDescent="0.25">
      <c r="B119" s="315" t="s">
        <v>42</v>
      </c>
      <c r="C119" s="315"/>
      <c r="D119" s="315"/>
      <c r="E119" s="315"/>
      <c r="F119" s="315"/>
      <c r="G119" s="315"/>
      <c r="H119" s="315"/>
    </row>
    <row r="120" spans="2:8" x14ac:dyDescent="0.2">
      <c r="B120" s="316" t="s">
        <v>81</v>
      </c>
      <c r="C120" s="316"/>
      <c r="D120" s="316"/>
      <c r="E120" s="316"/>
      <c r="F120" s="316"/>
      <c r="G120" s="316"/>
      <c r="H120" s="316"/>
    </row>
  </sheetData>
  <mergeCells count="20">
    <mergeCell ref="B60:C60"/>
    <mergeCell ref="B10:H10"/>
    <mergeCell ref="C12:E12"/>
    <mergeCell ref="C13:E13"/>
    <mergeCell ref="C14:E14"/>
    <mergeCell ref="B56:H58"/>
    <mergeCell ref="B1:H1"/>
    <mergeCell ref="B2:H2"/>
    <mergeCell ref="B3:H3"/>
    <mergeCell ref="B4:H4"/>
    <mergeCell ref="B6:H9"/>
    <mergeCell ref="B110:H110"/>
    <mergeCell ref="B111:H112"/>
    <mergeCell ref="B119:H119"/>
    <mergeCell ref="B120:H120"/>
    <mergeCell ref="B72:C72"/>
    <mergeCell ref="B83:H84"/>
    <mergeCell ref="B85:H85"/>
    <mergeCell ref="B86:H86"/>
    <mergeCell ref="B99:H100"/>
  </mergeCells>
  <dataValidations count="3">
    <dataValidation type="whole" errorStyle="information" allowBlank="1" showInputMessage="1" showErrorMessage="1" errorTitle="Foutmelding" error="Een heel getal tussen 0 en 999.999" sqref="C19:C20">
      <formula1>0</formula1>
      <formula2>999999</formula2>
    </dataValidation>
    <dataValidation type="decimal" allowBlank="1" showInputMessage="1" showErrorMessage="1" errorTitle="Fout" error="Voer hier de kinderopvanguren in , een getal tussen 0 en 260" promptTitle="Voer aantal maanduren in" prompt="Voer hier het aantal kinderopvang uren per maand in welke door de organisatie in rekening wordt gebracht_x000a_" sqref="D25:G26">
      <formula1>0</formula1>
      <formula2>260</formula2>
    </dataValidation>
    <dataValidation type="decimal" allowBlank="1" showInputMessage="1" showErrorMessage="1" errorTitle="Fout" error="Voer een uurtarief in tussen 5,00 en 25,00" promptTitle="Voer het uurtarief" prompt="Voer het uurtarief in wat de _x000a_organisatie in rekening brengt_x000a_" sqref="D27:G28">
      <formula1>5</formula1>
      <formula2>25</formula2>
    </dataValidation>
  </dataValidations>
  <hyperlinks>
    <hyperlink ref="B3:H3" r:id="rId1" display="https://www.kinderopvang-wijzer.nl/"/>
    <hyperlink ref="E118" r:id="rId2"/>
    <hyperlink ref="E117" r:id="rId3"/>
    <hyperlink ref="E116" r:id="rId4"/>
    <hyperlink ref="E115" r:id="rId5"/>
    <hyperlink ref="B3" r:id="rId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Selecteer opvangvorm" prompt="Selecteer opvangvorm KDV (kinderdagverblijf), BSO (buitenschoolse opvang) of Gastouderopvang">
          <x14:formula1>
            <xm:f>basisinfo2025!$A$1:$A$3</xm:f>
          </x14:formula1>
          <xm:sqref>D24:G24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2</vt:i4>
      </vt:variant>
    </vt:vector>
  </HeadingPairs>
  <TitlesOfParts>
    <vt:vector size="14" baseType="lpstr">
      <vt:lpstr>Indicatie netto kosten</vt:lpstr>
      <vt:lpstr>Berekening2026</vt:lpstr>
      <vt:lpstr>tabelkot2026</vt:lpstr>
      <vt:lpstr>basisinfo2026</vt:lpstr>
      <vt:lpstr>Berekening2025</vt:lpstr>
      <vt:lpstr>Berekening2025-2</vt:lpstr>
      <vt:lpstr>tabelkot2025</vt:lpstr>
      <vt:lpstr>basisinfo2025</vt:lpstr>
      <vt:lpstr>Berekening2024-2</vt:lpstr>
      <vt:lpstr>Berekening2024</vt:lpstr>
      <vt:lpstr>basisinfo2024</vt:lpstr>
      <vt:lpstr>tabelkot2024</vt:lpstr>
      <vt:lpstr>Berekening2025!Afdrukbereik</vt:lpstr>
      <vt:lpstr>'Indicatie netto kosten'!Afdrukbereik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KSH</dc:creator>
  <cp:lastModifiedBy>Paul Wilcke</cp:lastModifiedBy>
  <cp:lastPrinted>2025-11-05T10:57:44Z</cp:lastPrinted>
  <dcterms:created xsi:type="dcterms:W3CDTF">2020-11-21T07:26:05Z</dcterms:created>
  <dcterms:modified xsi:type="dcterms:W3CDTF">2025-11-05T12:53:32Z</dcterms:modified>
</cp:coreProperties>
</file>